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ia 2018 - 2021\Presupuesto 2021\PbR-2021\13.- Plantilla de Personal\"/>
    </mc:Choice>
  </mc:AlternateContent>
  <bookViews>
    <workbookView xWindow="-120" yWindow="-120" windowWidth="29040" windowHeight="15840"/>
  </bookViews>
  <sheets>
    <sheet name="Plantilla de personal 2021" sheetId="1" r:id="rId1"/>
  </sheets>
  <definedNames>
    <definedName name="_xlnm._FilterDatabase" localSheetId="0" hidden="1">'Plantilla de personal 2021'!$A$12:$FW$12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50" i="1" l="1"/>
  <c r="Y650" i="1" s="1"/>
  <c r="S650" i="1"/>
  <c r="T650" i="1" s="1"/>
  <c r="N650" i="1"/>
  <c r="J650" i="1"/>
  <c r="I650" i="1"/>
  <c r="X423" i="1"/>
  <c r="Y423" i="1" s="1"/>
  <c r="S423" i="1"/>
  <c r="T423" i="1" s="1"/>
  <c r="N423" i="1"/>
  <c r="J423" i="1"/>
  <c r="I423" i="1"/>
  <c r="X415" i="1"/>
  <c r="Y415" i="1" s="1"/>
  <c r="S415" i="1"/>
  <c r="T415" i="1" s="1"/>
  <c r="N415" i="1"/>
  <c r="J415" i="1"/>
  <c r="I415" i="1"/>
  <c r="X393" i="1"/>
  <c r="Y393" i="1" s="1"/>
  <c r="S393" i="1"/>
  <c r="T393" i="1" s="1"/>
  <c r="N393" i="1"/>
  <c r="J393" i="1"/>
  <c r="I393" i="1"/>
  <c r="X507" i="1"/>
  <c r="Y507" i="1" s="1"/>
  <c r="S507" i="1"/>
  <c r="T507" i="1" s="1"/>
  <c r="N507" i="1"/>
  <c r="J507" i="1"/>
  <c r="I507" i="1"/>
  <c r="X166" i="1" l="1"/>
  <c r="Y166" i="1" s="1"/>
  <c r="S166" i="1"/>
  <c r="U166" i="1" s="1"/>
  <c r="N166" i="1"/>
  <c r="J166" i="1"/>
  <c r="I166" i="1"/>
  <c r="G166" i="1"/>
  <c r="X70" i="1"/>
  <c r="Y70" i="1" s="1"/>
  <c r="S70" i="1"/>
  <c r="U70" i="1" s="1"/>
  <c r="N70" i="1"/>
  <c r="J70" i="1"/>
  <c r="I70" i="1"/>
  <c r="G70" i="1"/>
  <c r="T70" i="1" l="1"/>
  <c r="T166" i="1"/>
  <c r="S655" i="1"/>
  <c r="T655" i="1" s="1"/>
  <c r="S654" i="1"/>
  <c r="T654" i="1" s="1"/>
  <c r="S653" i="1"/>
  <c r="T653" i="1" s="1"/>
  <c r="S652" i="1"/>
  <c r="T652" i="1" s="1"/>
  <c r="S651" i="1"/>
  <c r="T651" i="1" s="1"/>
  <c r="S649" i="1"/>
  <c r="T649" i="1" s="1"/>
  <c r="S647" i="1"/>
  <c r="T647" i="1" s="1"/>
  <c r="X655" i="1"/>
  <c r="Y655" i="1" s="1"/>
  <c r="X654" i="1"/>
  <c r="Y654" i="1" s="1"/>
  <c r="X653" i="1"/>
  <c r="Y653" i="1" s="1"/>
  <c r="X652" i="1"/>
  <c r="Y652" i="1" s="1"/>
  <c r="X651" i="1"/>
  <c r="Y651" i="1" s="1"/>
  <c r="X649" i="1"/>
  <c r="Y649" i="1" s="1"/>
  <c r="X647" i="1"/>
  <c r="Y647" i="1" s="1"/>
  <c r="N647" i="1"/>
  <c r="N648" i="1"/>
  <c r="N649" i="1"/>
  <c r="N651" i="1"/>
  <c r="N652" i="1"/>
  <c r="N653" i="1"/>
  <c r="N654" i="1"/>
  <c r="N655" i="1"/>
  <c r="N646" i="1"/>
  <c r="K63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14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56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29" i="1"/>
  <c r="K510" i="1"/>
  <c r="K503" i="1"/>
  <c r="N504" i="1"/>
  <c r="N505" i="1"/>
  <c r="N506" i="1"/>
  <c r="N508" i="1"/>
  <c r="N509" i="1"/>
  <c r="N510" i="1"/>
  <c r="N511" i="1"/>
  <c r="N512" i="1"/>
  <c r="N513" i="1"/>
  <c r="N514" i="1"/>
  <c r="N515" i="1"/>
  <c r="N516" i="1"/>
  <c r="N517" i="1"/>
  <c r="N518" i="1"/>
  <c r="N503" i="1"/>
  <c r="K492" i="1"/>
  <c r="K490" i="1"/>
  <c r="K489" i="1"/>
  <c r="K487" i="1"/>
  <c r="N488" i="1"/>
  <c r="N489" i="1"/>
  <c r="N490" i="1"/>
  <c r="N491" i="1"/>
  <c r="N492" i="1"/>
  <c r="N487" i="1"/>
  <c r="K457" i="1"/>
  <c r="S456" i="1"/>
  <c r="T456" i="1" s="1"/>
  <c r="S457" i="1"/>
  <c r="T457" i="1" s="1"/>
  <c r="S458" i="1"/>
  <c r="T458" i="1" s="1"/>
  <c r="S459" i="1"/>
  <c r="T459" i="1" s="1"/>
  <c r="S460" i="1"/>
  <c r="T460" i="1" s="1"/>
  <c r="S461" i="1"/>
  <c r="T461" i="1" s="1"/>
  <c r="S462" i="1"/>
  <c r="T462" i="1" s="1"/>
  <c r="S463" i="1"/>
  <c r="T463" i="1" s="1"/>
  <c r="S464" i="1"/>
  <c r="T464" i="1" s="1"/>
  <c r="S465" i="1"/>
  <c r="T465" i="1" s="1"/>
  <c r="S466" i="1"/>
  <c r="T466" i="1" s="1"/>
  <c r="S467" i="1"/>
  <c r="T467" i="1" s="1"/>
  <c r="S468" i="1"/>
  <c r="T468" i="1" s="1"/>
  <c r="S469" i="1"/>
  <c r="T469" i="1" s="1"/>
  <c r="S470" i="1"/>
  <c r="T470" i="1" s="1"/>
  <c r="S471" i="1"/>
  <c r="T471" i="1" s="1"/>
  <c r="S472" i="1"/>
  <c r="T472" i="1" s="1"/>
  <c r="S473" i="1"/>
  <c r="T473" i="1" s="1"/>
  <c r="S474" i="1"/>
  <c r="T474" i="1" s="1"/>
  <c r="S475" i="1"/>
  <c r="T475" i="1" s="1"/>
  <c r="S476" i="1"/>
  <c r="T476" i="1" s="1"/>
  <c r="X456" i="1"/>
  <c r="Y456" i="1" s="1"/>
  <c r="X457" i="1"/>
  <c r="Y457" i="1" s="1"/>
  <c r="X458" i="1"/>
  <c r="Y458" i="1" s="1"/>
  <c r="X459" i="1"/>
  <c r="Y459" i="1" s="1"/>
  <c r="X460" i="1"/>
  <c r="Y460" i="1" s="1"/>
  <c r="X461" i="1"/>
  <c r="Y461" i="1" s="1"/>
  <c r="X462" i="1"/>
  <c r="Y462" i="1" s="1"/>
  <c r="X463" i="1"/>
  <c r="Y463" i="1" s="1"/>
  <c r="X464" i="1"/>
  <c r="Y464" i="1" s="1"/>
  <c r="X465" i="1"/>
  <c r="Y465" i="1" s="1"/>
  <c r="X466" i="1"/>
  <c r="Y466" i="1" s="1"/>
  <c r="X467" i="1"/>
  <c r="Y467" i="1" s="1"/>
  <c r="X468" i="1"/>
  <c r="Y468" i="1" s="1"/>
  <c r="X469" i="1"/>
  <c r="Y469" i="1" s="1"/>
  <c r="X470" i="1"/>
  <c r="Y470" i="1" s="1"/>
  <c r="X471" i="1"/>
  <c r="Y471" i="1" s="1"/>
  <c r="X472" i="1"/>
  <c r="Y472" i="1" s="1"/>
  <c r="X473" i="1"/>
  <c r="Y473" i="1" s="1"/>
  <c r="X474" i="1"/>
  <c r="Y474" i="1" s="1"/>
  <c r="X475" i="1"/>
  <c r="Y475" i="1" s="1"/>
  <c r="X476" i="1"/>
  <c r="Y476" i="1" s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34" i="1"/>
  <c r="K413" i="1"/>
  <c r="K368" i="1"/>
  <c r="F425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6" i="1"/>
  <c r="N417" i="1"/>
  <c r="N418" i="1"/>
  <c r="N419" i="1"/>
  <c r="N420" i="1"/>
  <c r="N421" i="1"/>
  <c r="N422" i="1"/>
  <c r="N368" i="1"/>
  <c r="K342" i="1"/>
  <c r="H359" i="1"/>
  <c r="H360" i="1" s="1"/>
  <c r="F359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33" i="1"/>
  <c r="S305" i="1"/>
  <c r="T305" i="1" s="1"/>
  <c r="S306" i="1"/>
  <c r="U306" i="1" s="1"/>
  <c r="S307" i="1"/>
  <c r="T307" i="1" s="1"/>
  <c r="S308" i="1"/>
  <c r="T308" i="1" s="1"/>
  <c r="S309" i="1"/>
  <c r="U309" i="1" s="1"/>
  <c r="S310" i="1"/>
  <c r="T310" i="1" s="1"/>
  <c r="S311" i="1"/>
  <c r="T311" i="1" s="1"/>
  <c r="S312" i="1"/>
  <c r="U312" i="1" s="1"/>
  <c r="S313" i="1"/>
  <c r="T313" i="1" s="1"/>
  <c r="S314" i="1"/>
  <c r="T314" i="1" s="1"/>
  <c r="S315" i="1"/>
  <c r="U315" i="1" s="1"/>
  <c r="S316" i="1"/>
  <c r="T316" i="1" s="1"/>
  <c r="S317" i="1"/>
  <c r="T317" i="1" s="1"/>
  <c r="S318" i="1"/>
  <c r="U318" i="1" s="1"/>
  <c r="S319" i="1"/>
  <c r="T319" i="1" s="1"/>
  <c r="S320" i="1"/>
  <c r="T320" i="1" s="1"/>
  <c r="S321" i="1"/>
  <c r="U321" i="1" s="1"/>
  <c r="X311" i="1"/>
  <c r="Y311" i="1" s="1"/>
  <c r="N312" i="1"/>
  <c r="N313" i="1"/>
  <c r="N314" i="1"/>
  <c r="N315" i="1"/>
  <c r="N316" i="1"/>
  <c r="N317" i="1"/>
  <c r="N318" i="1"/>
  <c r="N319" i="1"/>
  <c r="N320" i="1"/>
  <c r="N321" i="1"/>
  <c r="N311" i="1"/>
  <c r="N305" i="1"/>
  <c r="N306" i="1"/>
  <c r="N307" i="1"/>
  <c r="N308" i="1"/>
  <c r="N309" i="1"/>
  <c r="N310" i="1"/>
  <c r="N304" i="1"/>
  <c r="N284" i="1"/>
  <c r="N285" i="1"/>
  <c r="N286" i="1"/>
  <c r="N287" i="1"/>
  <c r="N288" i="1"/>
  <c r="N289" i="1"/>
  <c r="N290" i="1"/>
  <c r="N291" i="1"/>
  <c r="N292" i="1"/>
  <c r="N293" i="1"/>
  <c r="N283" i="1"/>
  <c r="N271" i="1"/>
  <c r="N270" i="1"/>
  <c r="G71" i="1"/>
  <c r="G66" i="1"/>
  <c r="T309" i="1" l="1"/>
  <c r="T312" i="1"/>
  <c r="T306" i="1"/>
  <c r="T321" i="1"/>
  <c r="T318" i="1"/>
  <c r="T315" i="1"/>
  <c r="U316" i="1"/>
  <c r="U320" i="1"/>
  <c r="U314" i="1"/>
  <c r="U308" i="1"/>
  <c r="U310" i="1"/>
  <c r="U319" i="1"/>
  <c r="U307" i="1"/>
  <c r="U313" i="1"/>
  <c r="U317" i="1"/>
  <c r="U311" i="1"/>
  <c r="U305" i="1"/>
  <c r="H248" i="1"/>
  <c r="S58" i="1"/>
  <c r="T58" i="1" s="1"/>
  <c r="S59" i="1"/>
  <c r="T59" i="1" s="1"/>
  <c r="S60" i="1"/>
  <c r="T60" i="1" s="1"/>
  <c r="S61" i="1"/>
  <c r="U61" i="1" s="1"/>
  <c r="S62" i="1"/>
  <c r="U62" i="1" s="1"/>
  <c r="S63" i="1"/>
  <c r="T63" i="1" s="1"/>
  <c r="S64" i="1"/>
  <c r="T64" i="1" s="1"/>
  <c r="S65" i="1"/>
  <c r="T65" i="1" s="1"/>
  <c r="S66" i="1"/>
  <c r="U66" i="1" s="1"/>
  <c r="S67" i="1"/>
  <c r="U67" i="1" s="1"/>
  <c r="S68" i="1"/>
  <c r="T68" i="1" s="1"/>
  <c r="S69" i="1"/>
  <c r="T69" i="1" s="1"/>
  <c r="S71" i="1"/>
  <c r="T71" i="1" s="1"/>
  <c r="S72" i="1"/>
  <c r="T72" i="1" s="1"/>
  <c r="S73" i="1"/>
  <c r="T73" i="1" s="1"/>
  <c r="S74" i="1"/>
  <c r="U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U80" i="1" s="1"/>
  <c r="S81" i="1"/>
  <c r="T81" i="1" s="1"/>
  <c r="S82" i="1"/>
  <c r="T82" i="1" s="1"/>
  <c r="S83" i="1"/>
  <c r="T83" i="1" s="1"/>
  <c r="S84" i="1"/>
  <c r="T84" i="1" s="1"/>
  <c r="S85" i="1"/>
  <c r="U85" i="1" s="1"/>
  <c r="H261" i="1"/>
  <c r="N258" i="1"/>
  <c r="N259" i="1"/>
  <c r="N257" i="1"/>
  <c r="N243" i="1"/>
  <c r="N244" i="1"/>
  <c r="N245" i="1"/>
  <c r="N246" i="1"/>
  <c r="N242" i="1"/>
  <c r="K231" i="1"/>
  <c r="K199" i="1"/>
  <c r="K198" i="1"/>
  <c r="K197" i="1"/>
  <c r="K196" i="1"/>
  <c r="K230" i="1"/>
  <c r="H233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H185" i="1"/>
  <c r="K167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56" i="1"/>
  <c r="K137" i="1"/>
  <c r="H147" i="1"/>
  <c r="N145" i="1"/>
  <c r="N144" i="1"/>
  <c r="N143" i="1"/>
  <c r="N142" i="1"/>
  <c r="N141" i="1"/>
  <c r="N140" i="1"/>
  <c r="N139" i="1"/>
  <c r="N138" i="1"/>
  <c r="N137" i="1"/>
  <c r="N121" i="1"/>
  <c r="N122" i="1"/>
  <c r="N123" i="1"/>
  <c r="N124" i="1"/>
  <c r="N125" i="1"/>
  <c r="N126" i="1"/>
  <c r="N120" i="1"/>
  <c r="H111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R88" i="1"/>
  <c r="K65" i="1"/>
  <c r="H87" i="1"/>
  <c r="U77" i="1" l="1"/>
  <c r="U64" i="1"/>
  <c r="T74" i="1"/>
  <c r="T85" i="1"/>
  <c r="T66" i="1"/>
  <c r="U79" i="1"/>
  <c r="T80" i="1"/>
  <c r="T62" i="1"/>
  <c r="U78" i="1"/>
  <c r="U65" i="1"/>
  <c r="T61" i="1"/>
  <c r="U73" i="1"/>
  <c r="U84" i="1"/>
  <c r="U72" i="1"/>
  <c r="U60" i="1"/>
  <c r="T67" i="1"/>
  <c r="U83" i="1"/>
  <c r="U71" i="1"/>
  <c r="U59" i="1"/>
  <c r="U82" i="1"/>
  <c r="U76" i="1"/>
  <c r="U69" i="1"/>
  <c r="U63" i="1"/>
  <c r="U58" i="1"/>
  <c r="U81" i="1"/>
  <c r="U75" i="1"/>
  <c r="U68" i="1"/>
  <c r="N59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69" i="1"/>
  <c r="N68" i="1"/>
  <c r="N67" i="1"/>
  <c r="N66" i="1"/>
  <c r="N65" i="1"/>
  <c r="N64" i="1"/>
  <c r="N63" i="1"/>
  <c r="N62" i="1"/>
  <c r="N61" i="1"/>
  <c r="N60" i="1"/>
  <c r="N58" i="1"/>
  <c r="N57" i="1"/>
  <c r="N46" i="1"/>
  <c r="N45" i="1"/>
  <c r="N44" i="1"/>
  <c r="N43" i="1"/>
  <c r="H34" i="1"/>
  <c r="H35" i="1" s="1"/>
  <c r="K27" i="1"/>
  <c r="N32" i="1"/>
  <c r="N31" i="1"/>
  <c r="N30" i="1"/>
  <c r="N29" i="1"/>
  <c r="N28" i="1"/>
  <c r="N27" i="1"/>
  <c r="H18" i="1"/>
  <c r="H19" i="1" s="1"/>
  <c r="J13" i="1"/>
  <c r="N16" i="1"/>
  <c r="N15" i="1"/>
  <c r="N14" i="1"/>
  <c r="N13" i="1"/>
  <c r="U658" i="1"/>
  <c r="R658" i="1"/>
  <c r="H657" i="1"/>
  <c r="H658" i="1" s="1"/>
  <c r="G657" i="1"/>
  <c r="G658" i="1" s="1"/>
  <c r="F657" i="1"/>
  <c r="F658" i="1" s="1"/>
  <c r="K655" i="1"/>
  <c r="J655" i="1"/>
  <c r="I655" i="1"/>
  <c r="J654" i="1"/>
  <c r="I654" i="1"/>
  <c r="K652" i="1"/>
  <c r="J652" i="1"/>
  <c r="I652" i="1"/>
  <c r="K651" i="1"/>
  <c r="J651" i="1"/>
  <c r="I651" i="1"/>
  <c r="K649" i="1"/>
  <c r="J649" i="1"/>
  <c r="I649" i="1"/>
  <c r="X648" i="1"/>
  <c r="Y648" i="1" s="1"/>
  <c r="S648" i="1"/>
  <c r="T648" i="1" s="1"/>
  <c r="K648" i="1"/>
  <c r="J648" i="1"/>
  <c r="I648" i="1"/>
  <c r="K647" i="1"/>
  <c r="J647" i="1"/>
  <c r="I647" i="1"/>
  <c r="X646" i="1"/>
  <c r="Y646" i="1" s="1"/>
  <c r="S646" i="1"/>
  <c r="T646" i="1" s="1"/>
  <c r="J646" i="1"/>
  <c r="I646" i="1"/>
  <c r="U638" i="1"/>
  <c r="R638" i="1"/>
  <c r="H637" i="1"/>
  <c r="H638" i="1" s="1"/>
  <c r="G637" i="1"/>
  <c r="G638" i="1" s="1"/>
  <c r="F637" i="1"/>
  <c r="F638" i="1" s="1"/>
  <c r="X635" i="1"/>
  <c r="Y635" i="1" s="1"/>
  <c r="S635" i="1"/>
  <c r="T635" i="1" s="1"/>
  <c r="J635" i="1"/>
  <c r="I635" i="1"/>
  <c r="X634" i="1"/>
  <c r="Y634" i="1" s="1"/>
  <c r="S634" i="1"/>
  <c r="T634" i="1" s="1"/>
  <c r="J634" i="1"/>
  <c r="I634" i="1"/>
  <c r="X633" i="1"/>
  <c r="Y633" i="1" s="1"/>
  <c r="S633" i="1"/>
  <c r="T633" i="1" s="1"/>
  <c r="K633" i="1"/>
  <c r="J633" i="1"/>
  <c r="I633" i="1"/>
  <c r="X632" i="1"/>
  <c r="Y632" i="1" s="1"/>
  <c r="S632" i="1"/>
  <c r="T632" i="1" s="1"/>
  <c r="J632" i="1"/>
  <c r="I632" i="1"/>
  <c r="X631" i="1"/>
  <c r="Y631" i="1" s="1"/>
  <c r="S631" i="1"/>
  <c r="T631" i="1" s="1"/>
  <c r="K631" i="1"/>
  <c r="J631" i="1"/>
  <c r="I631" i="1"/>
  <c r="X630" i="1"/>
  <c r="Y630" i="1" s="1"/>
  <c r="S630" i="1"/>
  <c r="T630" i="1" s="1"/>
  <c r="J630" i="1"/>
  <c r="I630" i="1"/>
  <c r="X629" i="1"/>
  <c r="Y629" i="1" s="1"/>
  <c r="S629" i="1"/>
  <c r="T629" i="1" s="1"/>
  <c r="J629" i="1"/>
  <c r="I629" i="1"/>
  <c r="X628" i="1"/>
  <c r="Y628" i="1" s="1"/>
  <c r="S628" i="1"/>
  <c r="T628" i="1" s="1"/>
  <c r="J628" i="1"/>
  <c r="I628" i="1"/>
  <c r="X627" i="1"/>
  <c r="Y627" i="1" s="1"/>
  <c r="S627" i="1"/>
  <c r="T627" i="1" s="1"/>
  <c r="J627" i="1"/>
  <c r="I627" i="1"/>
  <c r="X626" i="1"/>
  <c r="Y626" i="1" s="1"/>
  <c r="S626" i="1"/>
  <c r="T626" i="1" s="1"/>
  <c r="K626" i="1"/>
  <c r="J626" i="1"/>
  <c r="I626" i="1"/>
  <c r="X625" i="1"/>
  <c r="Y625" i="1" s="1"/>
  <c r="S625" i="1"/>
  <c r="T625" i="1" s="1"/>
  <c r="K625" i="1"/>
  <c r="J625" i="1"/>
  <c r="I625" i="1"/>
  <c r="X624" i="1"/>
  <c r="Y624" i="1" s="1"/>
  <c r="S624" i="1"/>
  <c r="T624" i="1" s="1"/>
  <c r="K624" i="1"/>
  <c r="J624" i="1"/>
  <c r="I624" i="1"/>
  <c r="X623" i="1"/>
  <c r="Y623" i="1" s="1"/>
  <c r="S623" i="1"/>
  <c r="T623" i="1" s="1"/>
  <c r="K623" i="1"/>
  <c r="J623" i="1"/>
  <c r="I623" i="1"/>
  <c r="X622" i="1"/>
  <c r="Y622" i="1" s="1"/>
  <c r="S622" i="1"/>
  <c r="T622" i="1" s="1"/>
  <c r="K622" i="1"/>
  <c r="J622" i="1"/>
  <c r="I622" i="1"/>
  <c r="X621" i="1"/>
  <c r="Y621" i="1" s="1"/>
  <c r="S621" i="1"/>
  <c r="T621" i="1" s="1"/>
  <c r="K621" i="1"/>
  <c r="J621" i="1"/>
  <c r="I621" i="1"/>
  <c r="X620" i="1"/>
  <c r="Y620" i="1" s="1"/>
  <c r="S620" i="1"/>
  <c r="T620" i="1" s="1"/>
  <c r="K620" i="1"/>
  <c r="J620" i="1"/>
  <c r="I620" i="1"/>
  <c r="X619" i="1"/>
  <c r="Y619" i="1" s="1"/>
  <c r="S619" i="1"/>
  <c r="T619" i="1" s="1"/>
  <c r="K619" i="1"/>
  <c r="J619" i="1"/>
  <c r="I619" i="1"/>
  <c r="X618" i="1"/>
  <c r="Y618" i="1" s="1"/>
  <c r="S618" i="1"/>
  <c r="T618" i="1" s="1"/>
  <c r="K618" i="1"/>
  <c r="J618" i="1"/>
  <c r="I618" i="1"/>
  <c r="X617" i="1"/>
  <c r="Y617" i="1" s="1"/>
  <c r="S617" i="1"/>
  <c r="T617" i="1" s="1"/>
  <c r="J617" i="1"/>
  <c r="I617" i="1"/>
  <c r="X616" i="1"/>
  <c r="Y616" i="1" s="1"/>
  <c r="S616" i="1"/>
  <c r="T616" i="1" s="1"/>
  <c r="K616" i="1"/>
  <c r="J616" i="1"/>
  <c r="I616" i="1"/>
  <c r="X615" i="1"/>
  <c r="Y615" i="1" s="1"/>
  <c r="S615" i="1"/>
  <c r="T615" i="1" s="1"/>
  <c r="J615" i="1"/>
  <c r="I615" i="1"/>
  <c r="X614" i="1"/>
  <c r="Y614" i="1" s="1"/>
  <c r="S614" i="1"/>
  <c r="T614" i="1" s="1"/>
  <c r="K614" i="1"/>
  <c r="J614" i="1"/>
  <c r="I614" i="1"/>
  <c r="U606" i="1"/>
  <c r="R606" i="1"/>
  <c r="H605" i="1"/>
  <c r="H606" i="1" s="1"/>
  <c r="G605" i="1"/>
  <c r="G606" i="1" s="1"/>
  <c r="F605" i="1"/>
  <c r="F606" i="1" s="1"/>
  <c r="X603" i="1"/>
  <c r="Y603" i="1" s="1"/>
  <c r="S603" i="1"/>
  <c r="T603" i="1" s="1"/>
  <c r="K603" i="1"/>
  <c r="J603" i="1"/>
  <c r="I603" i="1"/>
  <c r="X602" i="1"/>
  <c r="Y602" i="1" s="1"/>
  <c r="S602" i="1"/>
  <c r="T602" i="1" s="1"/>
  <c r="K602" i="1"/>
  <c r="J602" i="1"/>
  <c r="I602" i="1"/>
  <c r="X601" i="1"/>
  <c r="Y601" i="1" s="1"/>
  <c r="S601" i="1"/>
  <c r="T601" i="1" s="1"/>
  <c r="K601" i="1"/>
  <c r="J601" i="1"/>
  <c r="I601" i="1"/>
  <c r="X600" i="1"/>
  <c r="Y600" i="1" s="1"/>
  <c r="S600" i="1"/>
  <c r="T600" i="1" s="1"/>
  <c r="J600" i="1"/>
  <c r="I600" i="1"/>
  <c r="X599" i="1"/>
  <c r="Y599" i="1" s="1"/>
  <c r="S599" i="1"/>
  <c r="T599" i="1" s="1"/>
  <c r="K599" i="1"/>
  <c r="J599" i="1"/>
  <c r="I599" i="1"/>
  <c r="X598" i="1"/>
  <c r="Y598" i="1" s="1"/>
  <c r="S598" i="1"/>
  <c r="T598" i="1" s="1"/>
  <c r="J598" i="1"/>
  <c r="I598" i="1"/>
  <c r="X597" i="1"/>
  <c r="Y597" i="1" s="1"/>
  <c r="S597" i="1"/>
  <c r="T597" i="1" s="1"/>
  <c r="K597" i="1"/>
  <c r="J597" i="1"/>
  <c r="I597" i="1"/>
  <c r="X596" i="1"/>
  <c r="Y596" i="1" s="1"/>
  <c r="S596" i="1"/>
  <c r="T596" i="1" s="1"/>
  <c r="K596" i="1"/>
  <c r="J596" i="1"/>
  <c r="I596" i="1"/>
  <c r="X595" i="1"/>
  <c r="Y595" i="1" s="1"/>
  <c r="S595" i="1"/>
  <c r="T595" i="1" s="1"/>
  <c r="K595" i="1"/>
  <c r="J595" i="1"/>
  <c r="I595" i="1"/>
  <c r="X594" i="1"/>
  <c r="Y594" i="1" s="1"/>
  <c r="S594" i="1"/>
  <c r="T594" i="1" s="1"/>
  <c r="K594" i="1"/>
  <c r="J594" i="1"/>
  <c r="I594" i="1"/>
  <c r="X593" i="1"/>
  <c r="Y593" i="1" s="1"/>
  <c r="S593" i="1"/>
  <c r="T593" i="1" s="1"/>
  <c r="K593" i="1"/>
  <c r="J593" i="1"/>
  <c r="I593" i="1"/>
  <c r="X592" i="1"/>
  <c r="Y592" i="1" s="1"/>
  <c r="S592" i="1"/>
  <c r="T592" i="1" s="1"/>
  <c r="K592" i="1"/>
  <c r="J592" i="1"/>
  <c r="I592" i="1"/>
  <c r="X591" i="1"/>
  <c r="Y591" i="1" s="1"/>
  <c r="S591" i="1"/>
  <c r="T591" i="1" s="1"/>
  <c r="K591" i="1"/>
  <c r="J591" i="1"/>
  <c r="I591" i="1"/>
  <c r="X590" i="1"/>
  <c r="Y590" i="1" s="1"/>
  <c r="S590" i="1"/>
  <c r="T590" i="1" s="1"/>
  <c r="K590" i="1"/>
  <c r="J590" i="1"/>
  <c r="I590" i="1"/>
  <c r="X589" i="1"/>
  <c r="Y589" i="1" s="1"/>
  <c r="S589" i="1"/>
  <c r="T589" i="1" s="1"/>
  <c r="J589" i="1"/>
  <c r="I589" i="1"/>
  <c r="X588" i="1"/>
  <c r="Y588" i="1" s="1"/>
  <c r="S588" i="1"/>
  <c r="T588" i="1" s="1"/>
  <c r="K588" i="1"/>
  <c r="J588" i="1"/>
  <c r="I588" i="1"/>
  <c r="X587" i="1"/>
  <c r="Y587" i="1" s="1"/>
  <c r="S587" i="1"/>
  <c r="T587" i="1" s="1"/>
  <c r="J587" i="1"/>
  <c r="I587" i="1"/>
  <c r="X586" i="1"/>
  <c r="Y586" i="1" s="1"/>
  <c r="S586" i="1"/>
  <c r="T586" i="1" s="1"/>
  <c r="K586" i="1"/>
  <c r="J586" i="1"/>
  <c r="I586" i="1"/>
  <c r="X585" i="1"/>
  <c r="Y585" i="1" s="1"/>
  <c r="S585" i="1"/>
  <c r="T585" i="1" s="1"/>
  <c r="K585" i="1"/>
  <c r="J585" i="1"/>
  <c r="I585" i="1"/>
  <c r="X584" i="1"/>
  <c r="Y584" i="1" s="1"/>
  <c r="S584" i="1"/>
  <c r="T584" i="1" s="1"/>
  <c r="K584" i="1"/>
  <c r="J584" i="1"/>
  <c r="I584" i="1"/>
  <c r="X583" i="1"/>
  <c r="Y583" i="1" s="1"/>
  <c r="S583" i="1"/>
  <c r="T583" i="1" s="1"/>
  <c r="K583" i="1"/>
  <c r="J583" i="1"/>
  <c r="I583" i="1"/>
  <c r="X582" i="1"/>
  <c r="Y582" i="1" s="1"/>
  <c r="S582" i="1"/>
  <c r="T582" i="1" s="1"/>
  <c r="K582" i="1"/>
  <c r="J582" i="1"/>
  <c r="I582" i="1"/>
  <c r="X581" i="1"/>
  <c r="Y581" i="1" s="1"/>
  <c r="S581" i="1"/>
  <c r="T581" i="1" s="1"/>
  <c r="K581" i="1"/>
  <c r="J581" i="1"/>
  <c r="I581" i="1"/>
  <c r="X580" i="1"/>
  <c r="Y580" i="1" s="1"/>
  <c r="S580" i="1"/>
  <c r="T580" i="1" s="1"/>
  <c r="K580" i="1"/>
  <c r="J580" i="1"/>
  <c r="I580" i="1"/>
  <c r="X579" i="1"/>
  <c r="Y579" i="1" s="1"/>
  <c r="S579" i="1"/>
  <c r="T579" i="1" s="1"/>
  <c r="J579" i="1"/>
  <c r="I579" i="1"/>
  <c r="X578" i="1"/>
  <c r="Y578" i="1" s="1"/>
  <c r="S578" i="1"/>
  <c r="T578" i="1" s="1"/>
  <c r="J578" i="1"/>
  <c r="I578" i="1"/>
  <c r="X577" i="1"/>
  <c r="Y577" i="1" s="1"/>
  <c r="S577" i="1"/>
  <c r="T577" i="1" s="1"/>
  <c r="J577" i="1"/>
  <c r="I577" i="1"/>
  <c r="X576" i="1"/>
  <c r="Y576" i="1" s="1"/>
  <c r="S576" i="1"/>
  <c r="T576" i="1" s="1"/>
  <c r="K576" i="1"/>
  <c r="J576" i="1"/>
  <c r="I576" i="1"/>
  <c r="X575" i="1"/>
  <c r="Y575" i="1" s="1"/>
  <c r="S575" i="1"/>
  <c r="T575" i="1" s="1"/>
  <c r="J575" i="1"/>
  <c r="I575" i="1"/>
  <c r="X574" i="1"/>
  <c r="Y574" i="1" s="1"/>
  <c r="S574" i="1"/>
  <c r="T574" i="1" s="1"/>
  <c r="K574" i="1"/>
  <c r="J574" i="1"/>
  <c r="I574" i="1"/>
  <c r="X573" i="1"/>
  <c r="Y573" i="1" s="1"/>
  <c r="S573" i="1"/>
  <c r="T573" i="1" s="1"/>
  <c r="K573" i="1"/>
  <c r="J573" i="1"/>
  <c r="I573" i="1"/>
  <c r="X572" i="1"/>
  <c r="Y572" i="1" s="1"/>
  <c r="S572" i="1"/>
  <c r="T572" i="1" s="1"/>
  <c r="J572" i="1"/>
  <c r="I572" i="1"/>
  <c r="X571" i="1"/>
  <c r="Y571" i="1" s="1"/>
  <c r="S571" i="1"/>
  <c r="T571" i="1" s="1"/>
  <c r="K571" i="1"/>
  <c r="J571" i="1"/>
  <c r="I571" i="1"/>
  <c r="X570" i="1"/>
  <c r="Y570" i="1" s="1"/>
  <c r="S570" i="1"/>
  <c r="T570" i="1" s="1"/>
  <c r="K570" i="1"/>
  <c r="J570" i="1"/>
  <c r="I570" i="1"/>
  <c r="X569" i="1"/>
  <c r="Y569" i="1" s="1"/>
  <c r="S569" i="1"/>
  <c r="T569" i="1" s="1"/>
  <c r="J569" i="1"/>
  <c r="I569" i="1"/>
  <c r="U561" i="1"/>
  <c r="R561" i="1"/>
  <c r="H560" i="1"/>
  <c r="H561" i="1" s="1"/>
  <c r="G560" i="1"/>
  <c r="G561" i="1" s="1"/>
  <c r="F560" i="1"/>
  <c r="F561" i="1" s="1"/>
  <c r="X558" i="1"/>
  <c r="Y558" i="1" s="1"/>
  <c r="S558" i="1"/>
  <c r="T558" i="1" s="1"/>
  <c r="K558" i="1"/>
  <c r="J558" i="1"/>
  <c r="I558" i="1"/>
  <c r="X557" i="1"/>
  <c r="Y557" i="1" s="1"/>
  <c r="S557" i="1"/>
  <c r="T557" i="1" s="1"/>
  <c r="K557" i="1"/>
  <c r="J557" i="1"/>
  <c r="I557" i="1"/>
  <c r="X556" i="1"/>
  <c r="Y556" i="1" s="1"/>
  <c r="S556" i="1"/>
  <c r="T556" i="1" s="1"/>
  <c r="K556" i="1"/>
  <c r="J556" i="1"/>
  <c r="I556" i="1"/>
  <c r="X555" i="1"/>
  <c r="Y555" i="1" s="1"/>
  <c r="S555" i="1"/>
  <c r="T555" i="1" s="1"/>
  <c r="K555" i="1"/>
  <c r="J555" i="1"/>
  <c r="I555" i="1"/>
  <c r="X554" i="1"/>
  <c r="Y554" i="1" s="1"/>
  <c r="S554" i="1"/>
  <c r="T554" i="1" s="1"/>
  <c r="K554" i="1"/>
  <c r="J554" i="1"/>
  <c r="I554" i="1"/>
  <c r="X553" i="1"/>
  <c r="Y553" i="1" s="1"/>
  <c r="S553" i="1"/>
  <c r="T553" i="1" s="1"/>
  <c r="K553" i="1"/>
  <c r="J553" i="1"/>
  <c r="I553" i="1"/>
  <c r="X552" i="1"/>
  <c r="Y552" i="1" s="1"/>
  <c r="S552" i="1"/>
  <c r="T552" i="1" s="1"/>
  <c r="K552" i="1"/>
  <c r="J552" i="1"/>
  <c r="I552" i="1"/>
  <c r="X551" i="1"/>
  <c r="Y551" i="1" s="1"/>
  <c r="S551" i="1"/>
  <c r="T551" i="1" s="1"/>
  <c r="K551" i="1"/>
  <c r="J551" i="1"/>
  <c r="I551" i="1"/>
  <c r="X550" i="1"/>
  <c r="Y550" i="1" s="1"/>
  <c r="S550" i="1"/>
  <c r="T550" i="1" s="1"/>
  <c r="K550" i="1"/>
  <c r="J550" i="1"/>
  <c r="I550" i="1"/>
  <c r="X549" i="1"/>
  <c r="Y549" i="1" s="1"/>
  <c r="S549" i="1"/>
  <c r="T549" i="1" s="1"/>
  <c r="J549" i="1"/>
  <c r="I549" i="1"/>
  <c r="X548" i="1"/>
  <c r="Y548" i="1" s="1"/>
  <c r="S548" i="1"/>
  <c r="T548" i="1" s="1"/>
  <c r="K548" i="1"/>
  <c r="J548" i="1"/>
  <c r="I548" i="1"/>
  <c r="X547" i="1"/>
  <c r="Y547" i="1" s="1"/>
  <c r="S547" i="1"/>
  <c r="T547" i="1" s="1"/>
  <c r="K547" i="1"/>
  <c r="J547" i="1"/>
  <c r="I547" i="1"/>
  <c r="X546" i="1"/>
  <c r="Y546" i="1" s="1"/>
  <c r="S546" i="1"/>
  <c r="T546" i="1" s="1"/>
  <c r="K546" i="1"/>
  <c r="J546" i="1"/>
  <c r="I546" i="1"/>
  <c r="X545" i="1"/>
  <c r="Y545" i="1" s="1"/>
  <c r="S545" i="1"/>
  <c r="T545" i="1" s="1"/>
  <c r="K545" i="1"/>
  <c r="J545" i="1"/>
  <c r="I545" i="1"/>
  <c r="X544" i="1"/>
  <c r="Y544" i="1" s="1"/>
  <c r="S544" i="1"/>
  <c r="T544" i="1" s="1"/>
  <c r="K544" i="1"/>
  <c r="J544" i="1"/>
  <c r="I544" i="1"/>
  <c r="X543" i="1"/>
  <c r="Y543" i="1" s="1"/>
  <c r="S543" i="1"/>
  <c r="T543" i="1" s="1"/>
  <c r="K543" i="1"/>
  <c r="J543" i="1"/>
  <c r="I543" i="1"/>
  <c r="X542" i="1"/>
  <c r="Y542" i="1" s="1"/>
  <c r="S542" i="1"/>
  <c r="T542" i="1" s="1"/>
  <c r="K542" i="1"/>
  <c r="J542" i="1"/>
  <c r="I542" i="1"/>
  <c r="X541" i="1"/>
  <c r="Y541" i="1" s="1"/>
  <c r="S541" i="1"/>
  <c r="T541" i="1" s="1"/>
  <c r="J541" i="1"/>
  <c r="I541" i="1"/>
  <c r="X540" i="1"/>
  <c r="Y540" i="1" s="1"/>
  <c r="S540" i="1"/>
  <c r="T540" i="1" s="1"/>
  <c r="K540" i="1"/>
  <c r="J540" i="1"/>
  <c r="I540" i="1"/>
  <c r="X539" i="1"/>
  <c r="Y539" i="1" s="1"/>
  <c r="S539" i="1"/>
  <c r="T539" i="1" s="1"/>
  <c r="K539" i="1"/>
  <c r="J539" i="1"/>
  <c r="I539" i="1"/>
  <c r="X538" i="1"/>
  <c r="Y538" i="1" s="1"/>
  <c r="S538" i="1"/>
  <c r="T538" i="1" s="1"/>
  <c r="J538" i="1"/>
  <c r="I538" i="1"/>
  <c r="X537" i="1"/>
  <c r="Y537" i="1" s="1"/>
  <c r="S537" i="1"/>
  <c r="T537" i="1" s="1"/>
  <c r="J537" i="1"/>
  <c r="I537" i="1"/>
  <c r="X536" i="1"/>
  <c r="Y536" i="1" s="1"/>
  <c r="S536" i="1"/>
  <c r="T536" i="1" s="1"/>
  <c r="J536" i="1"/>
  <c r="I536" i="1"/>
  <c r="X535" i="1"/>
  <c r="Y535" i="1" s="1"/>
  <c r="S535" i="1"/>
  <c r="T535" i="1" s="1"/>
  <c r="K535" i="1"/>
  <c r="J535" i="1"/>
  <c r="I535" i="1"/>
  <c r="X534" i="1"/>
  <c r="Y534" i="1" s="1"/>
  <c r="S534" i="1"/>
  <c r="T534" i="1" s="1"/>
  <c r="K534" i="1"/>
  <c r="J534" i="1"/>
  <c r="I534" i="1"/>
  <c r="X533" i="1"/>
  <c r="Y533" i="1" s="1"/>
  <c r="S533" i="1"/>
  <c r="T533" i="1" s="1"/>
  <c r="K533" i="1"/>
  <c r="J533" i="1"/>
  <c r="I533" i="1"/>
  <c r="X532" i="1"/>
  <c r="Y532" i="1" s="1"/>
  <c r="S532" i="1"/>
  <c r="T532" i="1" s="1"/>
  <c r="K532" i="1"/>
  <c r="J532" i="1"/>
  <c r="I532" i="1"/>
  <c r="X531" i="1"/>
  <c r="Y531" i="1" s="1"/>
  <c r="S531" i="1"/>
  <c r="T531" i="1" s="1"/>
  <c r="K531" i="1"/>
  <c r="J531" i="1"/>
  <c r="I531" i="1"/>
  <c r="X530" i="1"/>
  <c r="Y530" i="1" s="1"/>
  <c r="S530" i="1"/>
  <c r="T530" i="1" s="1"/>
  <c r="J530" i="1"/>
  <c r="I530" i="1"/>
  <c r="X529" i="1"/>
  <c r="Y529" i="1" s="1"/>
  <c r="S529" i="1"/>
  <c r="T529" i="1" s="1"/>
  <c r="K529" i="1"/>
  <c r="J529" i="1"/>
  <c r="I529" i="1"/>
  <c r="U521" i="1"/>
  <c r="R521" i="1"/>
  <c r="H520" i="1"/>
  <c r="H521" i="1" s="1"/>
  <c r="G520" i="1"/>
  <c r="G521" i="1" s="1"/>
  <c r="F520" i="1"/>
  <c r="F521" i="1" s="1"/>
  <c r="X518" i="1"/>
  <c r="Y518" i="1" s="1"/>
  <c r="S518" i="1"/>
  <c r="T518" i="1" s="1"/>
  <c r="J518" i="1"/>
  <c r="I518" i="1"/>
  <c r="X517" i="1"/>
  <c r="Y517" i="1" s="1"/>
  <c r="S517" i="1"/>
  <c r="T517" i="1" s="1"/>
  <c r="J517" i="1"/>
  <c r="I517" i="1"/>
  <c r="X516" i="1"/>
  <c r="Y516" i="1" s="1"/>
  <c r="S516" i="1"/>
  <c r="T516" i="1" s="1"/>
  <c r="J516" i="1"/>
  <c r="I516" i="1"/>
  <c r="X515" i="1"/>
  <c r="Y515" i="1" s="1"/>
  <c r="S515" i="1"/>
  <c r="T515" i="1" s="1"/>
  <c r="J515" i="1"/>
  <c r="I515" i="1"/>
  <c r="X514" i="1"/>
  <c r="Y514" i="1" s="1"/>
  <c r="S514" i="1"/>
  <c r="T514" i="1" s="1"/>
  <c r="J514" i="1"/>
  <c r="I514" i="1"/>
  <c r="X513" i="1"/>
  <c r="Y513" i="1" s="1"/>
  <c r="S513" i="1"/>
  <c r="T513" i="1" s="1"/>
  <c r="K513" i="1"/>
  <c r="J513" i="1"/>
  <c r="I513" i="1"/>
  <c r="X512" i="1"/>
  <c r="Y512" i="1" s="1"/>
  <c r="S512" i="1"/>
  <c r="T512" i="1" s="1"/>
  <c r="K512" i="1"/>
  <c r="J512" i="1"/>
  <c r="I512" i="1"/>
  <c r="X511" i="1"/>
  <c r="Y511" i="1" s="1"/>
  <c r="S511" i="1"/>
  <c r="T511" i="1" s="1"/>
  <c r="X510" i="1"/>
  <c r="Y510" i="1" s="1"/>
  <c r="S510" i="1"/>
  <c r="T510" i="1" s="1"/>
  <c r="J510" i="1"/>
  <c r="I510" i="1"/>
  <c r="X509" i="1"/>
  <c r="Y509" i="1" s="1"/>
  <c r="S509" i="1"/>
  <c r="T509" i="1" s="1"/>
  <c r="J509" i="1"/>
  <c r="I509" i="1"/>
  <c r="X508" i="1"/>
  <c r="Y508" i="1" s="1"/>
  <c r="S508" i="1"/>
  <c r="T508" i="1" s="1"/>
  <c r="K508" i="1"/>
  <c r="J508" i="1"/>
  <c r="I508" i="1"/>
  <c r="X506" i="1"/>
  <c r="Y506" i="1" s="1"/>
  <c r="S506" i="1"/>
  <c r="T506" i="1" s="1"/>
  <c r="K506" i="1"/>
  <c r="J506" i="1"/>
  <c r="I506" i="1"/>
  <c r="X505" i="1"/>
  <c r="Y505" i="1" s="1"/>
  <c r="S505" i="1"/>
  <c r="T505" i="1" s="1"/>
  <c r="J505" i="1"/>
  <c r="I505" i="1"/>
  <c r="X504" i="1"/>
  <c r="Y504" i="1" s="1"/>
  <c r="S504" i="1"/>
  <c r="T504" i="1" s="1"/>
  <c r="J504" i="1"/>
  <c r="I504" i="1"/>
  <c r="X503" i="1"/>
  <c r="Y503" i="1" s="1"/>
  <c r="S503" i="1"/>
  <c r="T503" i="1" s="1"/>
  <c r="J503" i="1"/>
  <c r="I503" i="1"/>
  <c r="U495" i="1"/>
  <c r="R495" i="1"/>
  <c r="K494" i="1"/>
  <c r="K495" i="1" s="1"/>
  <c r="H494" i="1"/>
  <c r="H495" i="1" s="1"/>
  <c r="G494" i="1"/>
  <c r="G495" i="1" s="1"/>
  <c r="F494" i="1"/>
  <c r="F495" i="1" s="1"/>
  <c r="X492" i="1"/>
  <c r="Y492" i="1" s="1"/>
  <c r="S492" i="1"/>
  <c r="T492" i="1" s="1"/>
  <c r="J492" i="1"/>
  <c r="I492" i="1"/>
  <c r="X491" i="1"/>
  <c r="Y491" i="1" s="1"/>
  <c r="S491" i="1"/>
  <c r="T491" i="1" s="1"/>
  <c r="J491" i="1"/>
  <c r="I491" i="1"/>
  <c r="X490" i="1"/>
  <c r="Y490" i="1" s="1"/>
  <c r="S490" i="1"/>
  <c r="T490" i="1" s="1"/>
  <c r="J490" i="1"/>
  <c r="I490" i="1"/>
  <c r="X489" i="1"/>
  <c r="Y489" i="1" s="1"/>
  <c r="S489" i="1"/>
  <c r="T489" i="1" s="1"/>
  <c r="J489" i="1"/>
  <c r="I489" i="1"/>
  <c r="X488" i="1"/>
  <c r="Y488" i="1" s="1"/>
  <c r="S488" i="1"/>
  <c r="T488" i="1" s="1"/>
  <c r="J488" i="1"/>
  <c r="I488" i="1"/>
  <c r="X487" i="1"/>
  <c r="Y487" i="1" s="1"/>
  <c r="S487" i="1"/>
  <c r="T487" i="1" s="1"/>
  <c r="J487" i="1"/>
  <c r="I487" i="1"/>
  <c r="U479" i="1"/>
  <c r="R479" i="1"/>
  <c r="K478" i="1"/>
  <c r="K479" i="1" s="1"/>
  <c r="H478" i="1"/>
  <c r="H479" i="1" s="1"/>
  <c r="G478" i="1"/>
  <c r="G479" i="1" s="1"/>
  <c r="F478" i="1"/>
  <c r="F479" i="1" s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7" i="1"/>
  <c r="I457" i="1"/>
  <c r="J456" i="1"/>
  <c r="I456" i="1"/>
  <c r="X455" i="1"/>
  <c r="Y455" i="1" s="1"/>
  <c r="S455" i="1"/>
  <c r="T455" i="1" s="1"/>
  <c r="J455" i="1"/>
  <c r="I455" i="1"/>
  <c r="X454" i="1"/>
  <c r="Y454" i="1" s="1"/>
  <c r="S454" i="1"/>
  <c r="T454" i="1" s="1"/>
  <c r="J454" i="1"/>
  <c r="I454" i="1"/>
  <c r="X453" i="1"/>
  <c r="Y453" i="1" s="1"/>
  <c r="S453" i="1"/>
  <c r="T453" i="1" s="1"/>
  <c r="J453" i="1"/>
  <c r="I453" i="1"/>
  <c r="X452" i="1"/>
  <c r="Y452" i="1" s="1"/>
  <c r="S452" i="1"/>
  <c r="T452" i="1" s="1"/>
  <c r="J452" i="1"/>
  <c r="I452" i="1"/>
  <c r="X451" i="1"/>
  <c r="Y451" i="1" s="1"/>
  <c r="S451" i="1"/>
  <c r="T451" i="1" s="1"/>
  <c r="J451" i="1"/>
  <c r="I451" i="1"/>
  <c r="X450" i="1"/>
  <c r="Y450" i="1" s="1"/>
  <c r="S450" i="1"/>
  <c r="T450" i="1" s="1"/>
  <c r="J450" i="1"/>
  <c r="I450" i="1"/>
  <c r="X449" i="1"/>
  <c r="Y449" i="1" s="1"/>
  <c r="S449" i="1"/>
  <c r="T449" i="1" s="1"/>
  <c r="J449" i="1"/>
  <c r="I449" i="1"/>
  <c r="X448" i="1"/>
  <c r="Y448" i="1" s="1"/>
  <c r="S448" i="1"/>
  <c r="T448" i="1" s="1"/>
  <c r="J448" i="1"/>
  <c r="I448" i="1"/>
  <c r="X447" i="1"/>
  <c r="Y447" i="1" s="1"/>
  <c r="S447" i="1"/>
  <c r="T447" i="1" s="1"/>
  <c r="J447" i="1"/>
  <c r="I447" i="1"/>
  <c r="X446" i="1"/>
  <c r="Y446" i="1" s="1"/>
  <c r="S446" i="1"/>
  <c r="T446" i="1" s="1"/>
  <c r="J446" i="1"/>
  <c r="I446" i="1"/>
  <c r="X445" i="1"/>
  <c r="Y445" i="1" s="1"/>
  <c r="S445" i="1"/>
  <c r="T445" i="1" s="1"/>
  <c r="J445" i="1"/>
  <c r="I445" i="1"/>
  <c r="X444" i="1"/>
  <c r="Y444" i="1" s="1"/>
  <c r="S444" i="1"/>
  <c r="T444" i="1" s="1"/>
  <c r="J444" i="1"/>
  <c r="I444" i="1"/>
  <c r="X443" i="1"/>
  <c r="Y443" i="1" s="1"/>
  <c r="S443" i="1"/>
  <c r="T443" i="1" s="1"/>
  <c r="J443" i="1"/>
  <c r="I443" i="1"/>
  <c r="X442" i="1"/>
  <c r="Y442" i="1" s="1"/>
  <c r="S442" i="1"/>
  <c r="T442" i="1" s="1"/>
  <c r="J442" i="1"/>
  <c r="I442" i="1"/>
  <c r="X441" i="1"/>
  <c r="Y441" i="1" s="1"/>
  <c r="S441" i="1"/>
  <c r="T441" i="1" s="1"/>
  <c r="J441" i="1"/>
  <c r="I441" i="1"/>
  <c r="X440" i="1"/>
  <c r="Y440" i="1" s="1"/>
  <c r="S440" i="1"/>
  <c r="T440" i="1" s="1"/>
  <c r="J440" i="1"/>
  <c r="I440" i="1"/>
  <c r="X439" i="1"/>
  <c r="Y439" i="1" s="1"/>
  <c r="S439" i="1"/>
  <c r="T439" i="1" s="1"/>
  <c r="X438" i="1"/>
  <c r="Y438" i="1" s="1"/>
  <c r="S438" i="1"/>
  <c r="T438" i="1" s="1"/>
  <c r="X437" i="1"/>
  <c r="Y437" i="1" s="1"/>
  <c r="S437" i="1"/>
  <c r="T437" i="1" s="1"/>
  <c r="J437" i="1"/>
  <c r="I437" i="1"/>
  <c r="X436" i="1"/>
  <c r="Y436" i="1" s="1"/>
  <c r="S436" i="1"/>
  <c r="T436" i="1" s="1"/>
  <c r="J436" i="1"/>
  <c r="I436" i="1"/>
  <c r="X435" i="1"/>
  <c r="Y435" i="1" s="1"/>
  <c r="S435" i="1"/>
  <c r="T435" i="1" s="1"/>
  <c r="J435" i="1"/>
  <c r="I435" i="1"/>
  <c r="X434" i="1"/>
  <c r="Y434" i="1" s="1"/>
  <c r="S434" i="1"/>
  <c r="T434" i="1" s="1"/>
  <c r="J434" i="1"/>
  <c r="I434" i="1"/>
  <c r="U426" i="1"/>
  <c r="R426" i="1"/>
  <c r="H425" i="1"/>
  <c r="H426" i="1" s="1"/>
  <c r="G425" i="1"/>
  <c r="G426" i="1" s="1"/>
  <c r="F426" i="1"/>
  <c r="X422" i="1"/>
  <c r="Y422" i="1" s="1"/>
  <c r="S422" i="1"/>
  <c r="T422" i="1" s="1"/>
  <c r="J422" i="1"/>
  <c r="I422" i="1"/>
  <c r="X421" i="1"/>
  <c r="Y421" i="1" s="1"/>
  <c r="S421" i="1"/>
  <c r="T421" i="1" s="1"/>
  <c r="J421" i="1"/>
  <c r="I421" i="1"/>
  <c r="X420" i="1"/>
  <c r="Y420" i="1" s="1"/>
  <c r="S420" i="1"/>
  <c r="T420" i="1" s="1"/>
  <c r="J420" i="1"/>
  <c r="I420" i="1"/>
  <c r="X419" i="1"/>
  <c r="Y419" i="1" s="1"/>
  <c r="S419" i="1"/>
  <c r="T419" i="1" s="1"/>
  <c r="J419" i="1"/>
  <c r="I419" i="1"/>
  <c r="X418" i="1"/>
  <c r="Y418" i="1" s="1"/>
  <c r="S418" i="1"/>
  <c r="T418" i="1" s="1"/>
  <c r="J418" i="1"/>
  <c r="I418" i="1"/>
  <c r="X417" i="1"/>
  <c r="Y417" i="1" s="1"/>
  <c r="S417" i="1"/>
  <c r="T417" i="1" s="1"/>
  <c r="J417" i="1"/>
  <c r="I417" i="1"/>
  <c r="X416" i="1"/>
  <c r="Y416" i="1" s="1"/>
  <c r="S416" i="1"/>
  <c r="T416" i="1" s="1"/>
  <c r="J416" i="1"/>
  <c r="I416" i="1"/>
  <c r="X414" i="1"/>
  <c r="Y414" i="1" s="1"/>
  <c r="S414" i="1"/>
  <c r="T414" i="1" s="1"/>
  <c r="J414" i="1"/>
  <c r="I414" i="1"/>
  <c r="X413" i="1"/>
  <c r="Y413" i="1" s="1"/>
  <c r="S413" i="1"/>
  <c r="T413" i="1" s="1"/>
  <c r="J413" i="1"/>
  <c r="I413" i="1"/>
  <c r="X412" i="1"/>
  <c r="Y412" i="1" s="1"/>
  <c r="S412" i="1"/>
  <c r="T412" i="1" s="1"/>
  <c r="X411" i="1"/>
  <c r="Y411" i="1" s="1"/>
  <c r="S411" i="1"/>
  <c r="T411" i="1" s="1"/>
  <c r="J411" i="1"/>
  <c r="I411" i="1"/>
  <c r="X410" i="1"/>
  <c r="Y410" i="1" s="1"/>
  <c r="S410" i="1"/>
  <c r="T410" i="1" s="1"/>
  <c r="X409" i="1"/>
  <c r="Y409" i="1" s="1"/>
  <c r="S409" i="1"/>
  <c r="T409" i="1" s="1"/>
  <c r="J409" i="1"/>
  <c r="I409" i="1"/>
  <c r="X408" i="1"/>
  <c r="Y408" i="1" s="1"/>
  <c r="S408" i="1"/>
  <c r="T408" i="1" s="1"/>
  <c r="J408" i="1"/>
  <c r="I408" i="1"/>
  <c r="X407" i="1"/>
  <c r="Y407" i="1" s="1"/>
  <c r="S407" i="1"/>
  <c r="T407" i="1" s="1"/>
  <c r="J407" i="1"/>
  <c r="I407" i="1"/>
  <c r="X406" i="1"/>
  <c r="Y406" i="1" s="1"/>
  <c r="S406" i="1"/>
  <c r="T406" i="1" s="1"/>
  <c r="J406" i="1"/>
  <c r="I406" i="1"/>
  <c r="X405" i="1"/>
  <c r="Y405" i="1" s="1"/>
  <c r="S405" i="1"/>
  <c r="T405" i="1" s="1"/>
  <c r="J405" i="1"/>
  <c r="I405" i="1"/>
  <c r="X404" i="1"/>
  <c r="Y404" i="1" s="1"/>
  <c r="S404" i="1"/>
  <c r="T404" i="1" s="1"/>
  <c r="J404" i="1"/>
  <c r="I404" i="1"/>
  <c r="X403" i="1"/>
  <c r="Y403" i="1" s="1"/>
  <c r="S403" i="1"/>
  <c r="T403" i="1" s="1"/>
  <c r="J403" i="1"/>
  <c r="I403" i="1"/>
  <c r="X402" i="1"/>
  <c r="Y402" i="1" s="1"/>
  <c r="S402" i="1"/>
  <c r="T402" i="1" s="1"/>
  <c r="J402" i="1"/>
  <c r="I402" i="1"/>
  <c r="X401" i="1"/>
  <c r="Y401" i="1" s="1"/>
  <c r="S401" i="1"/>
  <c r="T401" i="1" s="1"/>
  <c r="J401" i="1"/>
  <c r="I401" i="1"/>
  <c r="X400" i="1"/>
  <c r="Y400" i="1" s="1"/>
  <c r="S400" i="1"/>
  <c r="T400" i="1" s="1"/>
  <c r="J400" i="1"/>
  <c r="I400" i="1"/>
  <c r="X399" i="1"/>
  <c r="Y399" i="1" s="1"/>
  <c r="S399" i="1"/>
  <c r="T399" i="1" s="1"/>
  <c r="J399" i="1"/>
  <c r="I399" i="1"/>
  <c r="X398" i="1"/>
  <c r="Y398" i="1" s="1"/>
  <c r="S398" i="1"/>
  <c r="T398" i="1" s="1"/>
  <c r="J398" i="1"/>
  <c r="I398" i="1"/>
  <c r="X397" i="1"/>
  <c r="Y397" i="1" s="1"/>
  <c r="S397" i="1"/>
  <c r="T397" i="1" s="1"/>
  <c r="J397" i="1"/>
  <c r="I397" i="1"/>
  <c r="X396" i="1"/>
  <c r="Y396" i="1" s="1"/>
  <c r="S396" i="1"/>
  <c r="T396" i="1" s="1"/>
  <c r="J396" i="1"/>
  <c r="I396" i="1"/>
  <c r="X395" i="1"/>
  <c r="Y395" i="1" s="1"/>
  <c r="S395" i="1"/>
  <c r="T395" i="1" s="1"/>
  <c r="J395" i="1"/>
  <c r="I395" i="1"/>
  <c r="X394" i="1"/>
  <c r="Y394" i="1" s="1"/>
  <c r="S394" i="1"/>
  <c r="T394" i="1" s="1"/>
  <c r="J394" i="1"/>
  <c r="I394" i="1"/>
  <c r="X392" i="1"/>
  <c r="Y392" i="1" s="1"/>
  <c r="S392" i="1"/>
  <c r="T392" i="1" s="1"/>
  <c r="J392" i="1"/>
  <c r="I392" i="1"/>
  <c r="X391" i="1"/>
  <c r="Y391" i="1" s="1"/>
  <c r="S391" i="1"/>
  <c r="T391" i="1" s="1"/>
  <c r="J391" i="1"/>
  <c r="I391" i="1"/>
  <c r="X390" i="1"/>
  <c r="Y390" i="1" s="1"/>
  <c r="S390" i="1"/>
  <c r="T390" i="1" s="1"/>
  <c r="K390" i="1"/>
  <c r="K425" i="1" s="1"/>
  <c r="K426" i="1" s="1"/>
  <c r="J390" i="1"/>
  <c r="I390" i="1"/>
  <c r="X389" i="1"/>
  <c r="Y389" i="1" s="1"/>
  <c r="S389" i="1"/>
  <c r="T389" i="1" s="1"/>
  <c r="J389" i="1"/>
  <c r="I389" i="1"/>
  <c r="X388" i="1"/>
  <c r="Y388" i="1" s="1"/>
  <c r="S388" i="1"/>
  <c r="T388" i="1" s="1"/>
  <c r="J388" i="1"/>
  <c r="I388" i="1"/>
  <c r="X387" i="1"/>
  <c r="Y387" i="1" s="1"/>
  <c r="S387" i="1"/>
  <c r="T387" i="1" s="1"/>
  <c r="J387" i="1"/>
  <c r="I387" i="1"/>
  <c r="X386" i="1"/>
  <c r="Y386" i="1" s="1"/>
  <c r="S386" i="1"/>
  <c r="T386" i="1" s="1"/>
  <c r="J386" i="1"/>
  <c r="I386" i="1"/>
  <c r="X385" i="1"/>
  <c r="Y385" i="1" s="1"/>
  <c r="S385" i="1"/>
  <c r="T385" i="1" s="1"/>
  <c r="J385" i="1"/>
  <c r="I385" i="1"/>
  <c r="X384" i="1"/>
  <c r="Y384" i="1" s="1"/>
  <c r="S384" i="1"/>
  <c r="T384" i="1" s="1"/>
  <c r="J384" i="1"/>
  <c r="I384" i="1"/>
  <c r="X383" i="1"/>
  <c r="Y383" i="1" s="1"/>
  <c r="S383" i="1"/>
  <c r="T383" i="1" s="1"/>
  <c r="J383" i="1"/>
  <c r="I383" i="1"/>
  <c r="X382" i="1"/>
  <c r="Y382" i="1" s="1"/>
  <c r="S382" i="1"/>
  <c r="T382" i="1" s="1"/>
  <c r="J382" i="1"/>
  <c r="I382" i="1"/>
  <c r="X381" i="1"/>
  <c r="Y381" i="1" s="1"/>
  <c r="S381" i="1"/>
  <c r="T381" i="1" s="1"/>
  <c r="J381" i="1"/>
  <c r="I381" i="1"/>
  <c r="X380" i="1"/>
  <c r="Y380" i="1" s="1"/>
  <c r="S380" i="1"/>
  <c r="T380" i="1" s="1"/>
  <c r="J380" i="1"/>
  <c r="I380" i="1"/>
  <c r="X379" i="1"/>
  <c r="Y379" i="1" s="1"/>
  <c r="S379" i="1"/>
  <c r="T379" i="1" s="1"/>
  <c r="J379" i="1"/>
  <c r="I379" i="1"/>
  <c r="X378" i="1"/>
  <c r="Y378" i="1" s="1"/>
  <c r="S378" i="1"/>
  <c r="T378" i="1" s="1"/>
  <c r="J378" i="1"/>
  <c r="I378" i="1"/>
  <c r="X377" i="1"/>
  <c r="Y377" i="1" s="1"/>
  <c r="S377" i="1"/>
  <c r="T377" i="1" s="1"/>
  <c r="J377" i="1"/>
  <c r="I377" i="1"/>
  <c r="X376" i="1"/>
  <c r="Y376" i="1" s="1"/>
  <c r="S376" i="1"/>
  <c r="T376" i="1" s="1"/>
  <c r="J376" i="1"/>
  <c r="I376" i="1"/>
  <c r="X375" i="1"/>
  <c r="Y375" i="1" s="1"/>
  <c r="S375" i="1"/>
  <c r="T375" i="1" s="1"/>
  <c r="J375" i="1"/>
  <c r="I375" i="1"/>
  <c r="X374" i="1"/>
  <c r="Y374" i="1" s="1"/>
  <c r="S374" i="1"/>
  <c r="T374" i="1" s="1"/>
  <c r="J374" i="1"/>
  <c r="I374" i="1"/>
  <c r="X373" i="1"/>
  <c r="Y373" i="1" s="1"/>
  <c r="S373" i="1"/>
  <c r="T373" i="1" s="1"/>
  <c r="J373" i="1"/>
  <c r="I373" i="1"/>
  <c r="X372" i="1"/>
  <c r="Y372" i="1" s="1"/>
  <c r="S372" i="1"/>
  <c r="T372" i="1" s="1"/>
  <c r="J372" i="1"/>
  <c r="I372" i="1"/>
  <c r="X371" i="1"/>
  <c r="Y371" i="1" s="1"/>
  <c r="S371" i="1"/>
  <c r="T371" i="1" s="1"/>
  <c r="J371" i="1"/>
  <c r="I371" i="1"/>
  <c r="X370" i="1"/>
  <c r="Y370" i="1" s="1"/>
  <c r="S370" i="1"/>
  <c r="T370" i="1" s="1"/>
  <c r="J370" i="1"/>
  <c r="I370" i="1"/>
  <c r="X369" i="1"/>
  <c r="Y369" i="1" s="1"/>
  <c r="S369" i="1"/>
  <c r="T369" i="1" s="1"/>
  <c r="J369" i="1"/>
  <c r="I369" i="1"/>
  <c r="X368" i="1"/>
  <c r="Y368" i="1" s="1"/>
  <c r="S368" i="1"/>
  <c r="T368" i="1" s="1"/>
  <c r="J368" i="1"/>
  <c r="I368" i="1"/>
  <c r="U360" i="1"/>
  <c r="R360" i="1"/>
  <c r="G359" i="1"/>
  <c r="G360" i="1" s="1"/>
  <c r="F360" i="1"/>
  <c r="X357" i="1"/>
  <c r="Y357" i="1" s="1"/>
  <c r="S357" i="1"/>
  <c r="T357" i="1" s="1"/>
  <c r="J357" i="1"/>
  <c r="I357" i="1"/>
  <c r="X356" i="1"/>
  <c r="Y356" i="1" s="1"/>
  <c r="S356" i="1"/>
  <c r="T356" i="1" s="1"/>
  <c r="J356" i="1"/>
  <c r="I356" i="1"/>
  <c r="X355" i="1"/>
  <c r="Y355" i="1" s="1"/>
  <c r="S355" i="1"/>
  <c r="T355" i="1" s="1"/>
  <c r="J355" i="1"/>
  <c r="I355" i="1"/>
  <c r="X354" i="1"/>
  <c r="Y354" i="1" s="1"/>
  <c r="S354" i="1"/>
  <c r="T354" i="1" s="1"/>
  <c r="J354" i="1"/>
  <c r="I354" i="1"/>
  <c r="X353" i="1"/>
  <c r="Y353" i="1" s="1"/>
  <c r="S353" i="1"/>
  <c r="T353" i="1" s="1"/>
  <c r="J353" i="1"/>
  <c r="I353" i="1"/>
  <c r="X352" i="1"/>
  <c r="Y352" i="1" s="1"/>
  <c r="S352" i="1"/>
  <c r="T352" i="1" s="1"/>
  <c r="J352" i="1"/>
  <c r="I352" i="1"/>
  <c r="X351" i="1"/>
  <c r="Y351" i="1" s="1"/>
  <c r="S351" i="1"/>
  <c r="T351" i="1" s="1"/>
  <c r="J351" i="1"/>
  <c r="I351" i="1"/>
  <c r="X350" i="1"/>
  <c r="Y350" i="1" s="1"/>
  <c r="S350" i="1"/>
  <c r="T350" i="1" s="1"/>
  <c r="J350" i="1"/>
  <c r="I350" i="1"/>
  <c r="X349" i="1"/>
  <c r="Y349" i="1" s="1"/>
  <c r="S349" i="1"/>
  <c r="T349" i="1" s="1"/>
  <c r="J349" i="1"/>
  <c r="I349" i="1"/>
  <c r="X348" i="1"/>
  <c r="Y348" i="1" s="1"/>
  <c r="S348" i="1"/>
  <c r="T348" i="1" s="1"/>
  <c r="J348" i="1"/>
  <c r="I348" i="1"/>
  <c r="X347" i="1"/>
  <c r="Y347" i="1" s="1"/>
  <c r="S347" i="1"/>
  <c r="T347" i="1" s="1"/>
  <c r="J347" i="1"/>
  <c r="I347" i="1"/>
  <c r="X346" i="1"/>
  <c r="Y346" i="1" s="1"/>
  <c r="S346" i="1"/>
  <c r="T346" i="1" s="1"/>
  <c r="J346" i="1"/>
  <c r="I346" i="1"/>
  <c r="X345" i="1"/>
  <c r="Y345" i="1" s="1"/>
  <c r="S345" i="1"/>
  <c r="T345" i="1" s="1"/>
  <c r="K345" i="1"/>
  <c r="J345" i="1"/>
  <c r="I345" i="1"/>
  <c r="X344" i="1"/>
  <c r="Y344" i="1" s="1"/>
  <c r="S344" i="1"/>
  <c r="T344" i="1" s="1"/>
  <c r="J344" i="1"/>
  <c r="I344" i="1"/>
  <c r="X343" i="1"/>
  <c r="Y343" i="1" s="1"/>
  <c r="S343" i="1"/>
  <c r="T343" i="1" s="1"/>
  <c r="J343" i="1"/>
  <c r="I343" i="1"/>
  <c r="X342" i="1"/>
  <c r="Y342" i="1" s="1"/>
  <c r="S342" i="1"/>
  <c r="T342" i="1" s="1"/>
  <c r="J342" i="1"/>
  <c r="I342" i="1"/>
  <c r="X341" i="1"/>
  <c r="Y341" i="1" s="1"/>
  <c r="S341" i="1"/>
  <c r="T341" i="1" s="1"/>
  <c r="J341" i="1"/>
  <c r="I341" i="1"/>
  <c r="X340" i="1"/>
  <c r="Y340" i="1" s="1"/>
  <c r="S340" i="1"/>
  <c r="T340" i="1" s="1"/>
  <c r="J340" i="1"/>
  <c r="I340" i="1"/>
  <c r="X339" i="1"/>
  <c r="Y339" i="1" s="1"/>
  <c r="S339" i="1"/>
  <c r="T339" i="1" s="1"/>
  <c r="J339" i="1"/>
  <c r="I339" i="1"/>
  <c r="X338" i="1"/>
  <c r="Y338" i="1" s="1"/>
  <c r="S338" i="1"/>
  <c r="T338" i="1" s="1"/>
  <c r="J338" i="1"/>
  <c r="I338" i="1"/>
  <c r="X337" i="1"/>
  <c r="Y337" i="1" s="1"/>
  <c r="S337" i="1"/>
  <c r="T337" i="1" s="1"/>
  <c r="I337" i="1"/>
  <c r="X336" i="1"/>
  <c r="Y336" i="1" s="1"/>
  <c r="S336" i="1"/>
  <c r="T336" i="1" s="1"/>
  <c r="J336" i="1"/>
  <c r="I336" i="1"/>
  <c r="X335" i="1"/>
  <c r="Y335" i="1" s="1"/>
  <c r="S335" i="1"/>
  <c r="T335" i="1" s="1"/>
  <c r="K335" i="1"/>
  <c r="J335" i="1"/>
  <c r="I335" i="1"/>
  <c r="X334" i="1"/>
  <c r="Y334" i="1" s="1"/>
  <c r="S334" i="1"/>
  <c r="T334" i="1" s="1"/>
  <c r="J334" i="1"/>
  <c r="I334" i="1"/>
  <c r="X333" i="1"/>
  <c r="Y333" i="1" s="1"/>
  <c r="S333" i="1"/>
  <c r="T333" i="1" s="1"/>
  <c r="J333" i="1"/>
  <c r="I333" i="1"/>
  <c r="R324" i="1"/>
  <c r="H323" i="1"/>
  <c r="H324" i="1" s="1"/>
  <c r="F323" i="1"/>
  <c r="F324" i="1" s="1"/>
  <c r="X321" i="1"/>
  <c r="Y321" i="1" s="1"/>
  <c r="J321" i="1"/>
  <c r="I321" i="1"/>
  <c r="G321" i="1"/>
  <c r="X320" i="1"/>
  <c r="Y320" i="1" s="1"/>
  <c r="J320" i="1"/>
  <c r="I320" i="1"/>
  <c r="G320" i="1"/>
  <c r="X319" i="1"/>
  <c r="Y319" i="1" s="1"/>
  <c r="J319" i="1"/>
  <c r="I319" i="1"/>
  <c r="G319" i="1"/>
  <c r="X318" i="1"/>
  <c r="Y318" i="1" s="1"/>
  <c r="J318" i="1"/>
  <c r="I318" i="1"/>
  <c r="G318" i="1"/>
  <c r="X317" i="1"/>
  <c r="Y317" i="1" s="1"/>
  <c r="J317" i="1"/>
  <c r="I317" i="1"/>
  <c r="G317" i="1"/>
  <c r="X316" i="1"/>
  <c r="Y316" i="1" s="1"/>
  <c r="J316" i="1"/>
  <c r="I316" i="1"/>
  <c r="G316" i="1"/>
  <c r="X315" i="1"/>
  <c r="Y315" i="1" s="1"/>
  <c r="J315" i="1"/>
  <c r="I315" i="1"/>
  <c r="G315" i="1"/>
  <c r="X314" i="1"/>
  <c r="Y314" i="1" s="1"/>
  <c r="J314" i="1"/>
  <c r="I314" i="1"/>
  <c r="G314" i="1"/>
  <c r="X313" i="1"/>
  <c r="Y313" i="1" s="1"/>
  <c r="J313" i="1"/>
  <c r="I313" i="1"/>
  <c r="G313" i="1"/>
  <c r="X312" i="1"/>
  <c r="Y312" i="1" s="1"/>
  <c r="J312" i="1"/>
  <c r="I312" i="1"/>
  <c r="G312" i="1"/>
  <c r="J311" i="1"/>
  <c r="I311" i="1"/>
  <c r="G311" i="1"/>
  <c r="X310" i="1"/>
  <c r="Y310" i="1" s="1"/>
  <c r="J310" i="1"/>
  <c r="I310" i="1"/>
  <c r="G310" i="1"/>
  <c r="X309" i="1"/>
  <c r="Y309" i="1" s="1"/>
  <c r="J309" i="1"/>
  <c r="I309" i="1"/>
  <c r="G309" i="1"/>
  <c r="X308" i="1"/>
  <c r="Y308" i="1" s="1"/>
  <c r="J308" i="1"/>
  <c r="I308" i="1"/>
  <c r="G308" i="1"/>
  <c r="X307" i="1"/>
  <c r="Y307" i="1" s="1"/>
  <c r="J307" i="1"/>
  <c r="I307" i="1"/>
  <c r="G307" i="1"/>
  <c r="X306" i="1"/>
  <c r="Y306" i="1" s="1"/>
  <c r="J306" i="1"/>
  <c r="I306" i="1"/>
  <c r="G306" i="1"/>
  <c r="X305" i="1"/>
  <c r="Y305" i="1" s="1"/>
  <c r="K305" i="1"/>
  <c r="K323" i="1" s="1"/>
  <c r="K324" i="1" s="1"/>
  <c r="J305" i="1"/>
  <c r="I305" i="1"/>
  <c r="G305" i="1"/>
  <c r="X304" i="1"/>
  <c r="Y304" i="1" s="1"/>
  <c r="S304" i="1"/>
  <c r="J304" i="1"/>
  <c r="I304" i="1"/>
  <c r="G304" i="1"/>
  <c r="R296" i="1"/>
  <c r="H295" i="1"/>
  <c r="H296" i="1" s="1"/>
  <c r="F295" i="1"/>
  <c r="F296" i="1" s="1"/>
  <c r="X293" i="1"/>
  <c r="Y293" i="1" s="1"/>
  <c r="S293" i="1"/>
  <c r="U293" i="1" s="1"/>
  <c r="I293" i="1"/>
  <c r="G293" i="1"/>
  <c r="X292" i="1"/>
  <c r="Y292" i="1" s="1"/>
  <c r="S292" i="1"/>
  <c r="U292" i="1" s="1"/>
  <c r="I292" i="1"/>
  <c r="G292" i="1"/>
  <c r="X291" i="1"/>
  <c r="Y291" i="1" s="1"/>
  <c r="S291" i="1"/>
  <c r="U291" i="1" s="1"/>
  <c r="I291" i="1"/>
  <c r="G291" i="1"/>
  <c r="X290" i="1"/>
  <c r="Y290" i="1" s="1"/>
  <c r="S290" i="1"/>
  <c r="U290" i="1" s="1"/>
  <c r="I290" i="1"/>
  <c r="G290" i="1"/>
  <c r="X289" i="1"/>
  <c r="Y289" i="1" s="1"/>
  <c r="S289" i="1"/>
  <c r="U289" i="1" s="1"/>
  <c r="I289" i="1"/>
  <c r="G289" i="1"/>
  <c r="X288" i="1"/>
  <c r="Y288" i="1" s="1"/>
  <c r="S288" i="1"/>
  <c r="U288" i="1" s="1"/>
  <c r="I288" i="1"/>
  <c r="G288" i="1"/>
  <c r="X287" i="1"/>
  <c r="Y287" i="1" s="1"/>
  <c r="S287" i="1"/>
  <c r="U287" i="1" s="1"/>
  <c r="K287" i="1"/>
  <c r="K295" i="1" s="1"/>
  <c r="K296" i="1" s="1"/>
  <c r="J287" i="1"/>
  <c r="J295" i="1" s="1"/>
  <c r="J296" i="1" s="1"/>
  <c r="I287" i="1"/>
  <c r="G287" i="1"/>
  <c r="X286" i="1"/>
  <c r="Y286" i="1" s="1"/>
  <c r="S286" i="1"/>
  <c r="U286" i="1" s="1"/>
  <c r="I286" i="1"/>
  <c r="G286" i="1"/>
  <c r="X285" i="1"/>
  <c r="Y285" i="1" s="1"/>
  <c r="S285" i="1"/>
  <c r="U285" i="1" s="1"/>
  <c r="I285" i="1"/>
  <c r="G285" i="1"/>
  <c r="X284" i="1"/>
  <c r="Y284" i="1" s="1"/>
  <c r="S284" i="1"/>
  <c r="U284" i="1" s="1"/>
  <c r="I284" i="1"/>
  <c r="G284" i="1"/>
  <c r="X283" i="1"/>
  <c r="Y283" i="1" s="1"/>
  <c r="S283" i="1"/>
  <c r="U283" i="1" s="1"/>
  <c r="I283" i="1"/>
  <c r="G283" i="1"/>
  <c r="R274" i="1"/>
  <c r="H273" i="1"/>
  <c r="H274" i="1" s="1"/>
  <c r="F273" i="1"/>
  <c r="F274" i="1" s="1"/>
  <c r="X271" i="1"/>
  <c r="Y271" i="1" s="1"/>
  <c r="S271" i="1"/>
  <c r="K271" i="1"/>
  <c r="K273" i="1" s="1"/>
  <c r="K274" i="1" s="1"/>
  <c r="J271" i="1"/>
  <c r="I271" i="1"/>
  <c r="G271" i="1"/>
  <c r="X270" i="1"/>
  <c r="Y270" i="1" s="1"/>
  <c r="S270" i="1"/>
  <c r="J270" i="1"/>
  <c r="I270" i="1"/>
  <c r="G270" i="1"/>
  <c r="R262" i="1"/>
  <c r="H262" i="1"/>
  <c r="F693" i="1" s="1"/>
  <c r="F261" i="1"/>
  <c r="F262" i="1" s="1"/>
  <c r="X259" i="1"/>
  <c r="Y259" i="1" s="1"/>
  <c r="S259" i="1"/>
  <c r="J259" i="1"/>
  <c r="I259" i="1"/>
  <c r="G259" i="1"/>
  <c r="X258" i="1"/>
  <c r="Y258" i="1" s="1"/>
  <c r="S258" i="1"/>
  <c r="K258" i="1"/>
  <c r="K261" i="1" s="1"/>
  <c r="K262" i="1" s="1"/>
  <c r="J258" i="1"/>
  <c r="I258" i="1"/>
  <c r="G258" i="1"/>
  <c r="X257" i="1"/>
  <c r="Y257" i="1" s="1"/>
  <c r="S257" i="1"/>
  <c r="J257" i="1"/>
  <c r="I257" i="1"/>
  <c r="G257" i="1"/>
  <c r="R249" i="1"/>
  <c r="H249" i="1"/>
  <c r="F248" i="1"/>
  <c r="F249" i="1" s="1"/>
  <c r="X246" i="1"/>
  <c r="Y246" i="1" s="1"/>
  <c r="S246" i="1"/>
  <c r="J246" i="1"/>
  <c r="I246" i="1"/>
  <c r="G246" i="1"/>
  <c r="X245" i="1"/>
  <c r="Y245" i="1" s="1"/>
  <c r="S245" i="1"/>
  <c r="K245" i="1"/>
  <c r="J245" i="1"/>
  <c r="I245" i="1"/>
  <c r="G245" i="1"/>
  <c r="X244" i="1"/>
  <c r="Y244" i="1" s="1"/>
  <c r="S244" i="1"/>
  <c r="K244" i="1"/>
  <c r="J244" i="1"/>
  <c r="I244" i="1"/>
  <c r="G244" i="1"/>
  <c r="X243" i="1"/>
  <c r="Y243" i="1" s="1"/>
  <c r="S243" i="1"/>
  <c r="K243" i="1"/>
  <c r="J243" i="1"/>
  <c r="I243" i="1"/>
  <c r="G243" i="1"/>
  <c r="X242" i="1"/>
  <c r="Y242" i="1" s="1"/>
  <c r="S242" i="1"/>
  <c r="J242" i="1"/>
  <c r="I242" i="1"/>
  <c r="G242" i="1"/>
  <c r="R234" i="1"/>
  <c r="H234" i="1"/>
  <c r="F233" i="1"/>
  <c r="F234" i="1" s="1"/>
  <c r="X231" i="1"/>
  <c r="Y231" i="1" s="1"/>
  <c r="S231" i="1"/>
  <c r="J231" i="1"/>
  <c r="I231" i="1"/>
  <c r="G231" i="1"/>
  <c r="X230" i="1"/>
  <c r="Y230" i="1" s="1"/>
  <c r="S230" i="1"/>
  <c r="U230" i="1" s="1"/>
  <c r="J230" i="1"/>
  <c r="I230" i="1"/>
  <c r="G230" i="1"/>
  <c r="X229" i="1"/>
  <c r="Y229" i="1" s="1"/>
  <c r="S229" i="1"/>
  <c r="U229" i="1" s="1"/>
  <c r="J229" i="1"/>
  <c r="I229" i="1"/>
  <c r="G229" i="1"/>
  <c r="X228" i="1"/>
  <c r="Y228" i="1" s="1"/>
  <c r="S228" i="1"/>
  <c r="U228" i="1" s="1"/>
  <c r="J228" i="1"/>
  <c r="G228" i="1"/>
  <c r="X227" i="1"/>
  <c r="Y227" i="1" s="1"/>
  <c r="S227" i="1"/>
  <c r="J227" i="1"/>
  <c r="I227" i="1"/>
  <c r="G227" i="1"/>
  <c r="X226" i="1"/>
  <c r="Y226" i="1" s="1"/>
  <c r="S226" i="1"/>
  <c r="U226" i="1" s="1"/>
  <c r="J226" i="1"/>
  <c r="I226" i="1"/>
  <c r="G226" i="1"/>
  <c r="X225" i="1"/>
  <c r="Y225" i="1" s="1"/>
  <c r="S225" i="1"/>
  <c r="J225" i="1"/>
  <c r="I225" i="1"/>
  <c r="G225" i="1"/>
  <c r="X224" i="1"/>
  <c r="Y224" i="1" s="1"/>
  <c r="S224" i="1"/>
  <c r="J224" i="1"/>
  <c r="I224" i="1"/>
  <c r="G224" i="1"/>
  <c r="X223" i="1"/>
  <c r="Y223" i="1" s="1"/>
  <c r="S223" i="1"/>
  <c r="J223" i="1"/>
  <c r="I223" i="1"/>
  <c r="G223" i="1"/>
  <c r="X222" i="1"/>
  <c r="Y222" i="1" s="1"/>
  <c r="S222" i="1"/>
  <c r="J222" i="1"/>
  <c r="I222" i="1"/>
  <c r="G222" i="1"/>
  <c r="X221" i="1"/>
  <c r="Y221" i="1" s="1"/>
  <c r="S221" i="1"/>
  <c r="J221" i="1"/>
  <c r="I221" i="1"/>
  <c r="G221" i="1"/>
  <c r="X220" i="1"/>
  <c r="Y220" i="1" s="1"/>
  <c r="S220" i="1"/>
  <c r="U220" i="1" s="1"/>
  <c r="J220" i="1"/>
  <c r="I220" i="1"/>
  <c r="G220" i="1"/>
  <c r="X219" i="1"/>
  <c r="Y219" i="1" s="1"/>
  <c r="S219" i="1"/>
  <c r="J219" i="1"/>
  <c r="I219" i="1"/>
  <c r="G219" i="1"/>
  <c r="X218" i="1"/>
  <c r="Y218" i="1" s="1"/>
  <c r="S218" i="1"/>
  <c r="J218" i="1"/>
  <c r="I218" i="1"/>
  <c r="G218" i="1"/>
  <c r="X217" i="1"/>
  <c r="Y217" i="1" s="1"/>
  <c r="S217" i="1"/>
  <c r="J217" i="1"/>
  <c r="I217" i="1"/>
  <c r="G217" i="1"/>
  <c r="X216" i="1"/>
  <c r="Y216" i="1" s="1"/>
  <c r="S216" i="1"/>
  <c r="U216" i="1" s="1"/>
  <c r="J216" i="1"/>
  <c r="I216" i="1"/>
  <c r="G216" i="1"/>
  <c r="X215" i="1"/>
  <c r="Y215" i="1" s="1"/>
  <c r="S215" i="1"/>
  <c r="J215" i="1"/>
  <c r="I215" i="1"/>
  <c r="G215" i="1"/>
  <c r="X214" i="1"/>
  <c r="Y214" i="1" s="1"/>
  <c r="S214" i="1"/>
  <c r="U214" i="1" s="1"/>
  <c r="J214" i="1"/>
  <c r="I214" i="1"/>
  <c r="G214" i="1"/>
  <c r="X213" i="1"/>
  <c r="Y213" i="1" s="1"/>
  <c r="S213" i="1"/>
  <c r="J213" i="1"/>
  <c r="I213" i="1"/>
  <c r="G213" i="1"/>
  <c r="X212" i="1"/>
  <c r="Y212" i="1" s="1"/>
  <c r="S212" i="1"/>
  <c r="J212" i="1"/>
  <c r="I212" i="1"/>
  <c r="G212" i="1"/>
  <c r="X211" i="1"/>
  <c r="Y211" i="1" s="1"/>
  <c r="S211" i="1"/>
  <c r="J211" i="1"/>
  <c r="I211" i="1"/>
  <c r="G211" i="1"/>
  <c r="X210" i="1"/>
  <c r="Y210" i="1" s="1"/>
  <c r="S210" i="1"/>
  <c r="J210" i="1"/>
  <c r="I210" i="1"/>
  <c r="G210" i="1"/>
  <c r="X209" i="1"/>
  <c r="Y209" i="1" s="1"/>
  <c r="S209" i="1"/>
  <c r="J209" i="1"/>
  <c r="I209" i="1"/>
  <c r="G209" i="1"/>
  <c r="X208" i="1"/>
  <c r="Y208" i="1" s="1"/>
  <c r="S208" i="1"/>
  <c r="U208" i="1" s="1"/>
  <c r="J208" i="1"/>
  <c r="I208" i="1"/>
  <c r="G208" i="1"/>
  <c r="X207" i="1"/>
  <c r="Y207" i="1" s="1"/>
  <c r="S207" i="1"/>
  <c r="J207" i="1"/>
  <c r="I207" i="1"/>
  <c r="G207" i="1"/>
  <c r="X206" i="1"/>
  <c r="Y206" i="1" s="1"/>
  <c r="S206" i="1"/>
  <c r="J206" i="1"/>
  <c r="I206" i="1"/>
  <c r="G206" i="1"/>
  <c r="X205" i="1"/>
  <c r="Y205" i="1" s="1"/>
  <c r="S205" i="1"/>
  <c r="J205" i="1"/>
  <c r="I205" i="1"/>
  <c r="G205" i="1"/>
  <c r="X204" i="1"/>
  <c r="Y204" i="1" s="1"/>
  <c r="S204" i="1"/>
  <c r="U204" i="1" s="1"/>
  <c r="J204" i="1"/>
  <c r="I204" i="1"/>
  <c r="G204" i="1"/>
  <c r="X203" i="1"/>
  <c r="Y203" i="1" s="1"/>
  <c r="S203" i="1"/>
  <c r="J203" i="1"/>
  <c r="I203" i="1"/>
  <c r="G203" i="1"/>
  <c r="X202" i="1"/>
  <c r="Y202" i="1" s="1"/>
  <c r="S202" i="1"/>
  <c r="U202" i="1" s="1"/>
  <c r="J202" i="1"/>
  <c r="I202" i="1"/>
  <c r="G202" i="1"/>
  <c r="X201" i="1"/>
  <c r="Y201" i="1" s="1"/>
  <c r="S201" i="1"/>
  <c r="J201" i="1"/>
  <c r="I201" i="1"/>
  <c r="G201" i="1"/>
  <c r="X200" i="1"/>
  <c r="Y200" i="1" s="1"/>
  <c r="S200" i="1"/>
  <c r="J200" i="1"/>
  <c r="I200" i="1"/>
  <c r="G200" i="1"/>
  <c r="X199" i="1"/>
  <c r="Y199" i="1" s="1"/>
  <c r="S199" i="1"/>
  <c r="J199" i="1"/>
  <c r="I199" i="1"/>
  <c r="G199" i="1"/>
  <c r="X198" i="1"/>
  <c r="Y198" i="1" s="1"/>
  <c r="S198" i="1"/>
  <c r="J198" i="1"/>
  <c r="I198" i="1"/>
  <c r="G198" i="1"/>
  <c r="X197" i="1"/>
  <c r="Y197" i="1" s="1"/>
  <c r="S197" i="1"/>
  <c r="U197" i="1" s="1"/>
  <c r="J197" i="1"/>
  <c r="I197" i="1"/>
  <c r="G197" i="1"/>
  <c r="X196" i="1"/>
  <c r="Y196" i="1" s="1"/>
  <c r="S196" i="1"/>
  <c r="J196" i="1"/>
  <c r="I196" i="1"/>
  <c r="G196" i="1"/>
  <c r="X195" i="1"/>
  <c r="Y195" i="1" s="1"/>
  <c r="S195" i="1"/>
  <c r="U195" i="1" s="1"/>
  <c r="J195" i="1"/>
  <c r="I195" i="1"/>
  <c r="G195" i="1"/>
  <c r="X194" i="1"/>
  <c r="Y194" i="1" s="1"/>
  <c r="S194" i="1"/>
  <c r="K194" i="1"/>
  <c r="J194" i="1"/>
  <c r="I194" i="1"/>
  <c r="G194" i="1"/>
  <c r="R186" i="1"/>
  <c r="H186" i="1"/>
  <c r="F185" i="1"/>
  <c r="F186" i="1" s="1"/>
  <c r="X183" i="1"/>
  <c r="Y183" i="1" s="1"/>
  <c r="S183" i="1"/>
  <c r="J183" i="1"/>
  <c r="I183" i="1"/>
  <c r="G183" i="1"/>
  <c r="X182" i="1"/>
  <c r="Y182" i="1" s="1"/>
  <c r="S182" i="1"/>
  <c r="K182" i="1"/>
  <c r="J182" i="1"/>
  <c r="I182" i="1"/>
  <c r="G182" i="1"/>
  <c r="X181" i="1"/>
  <c r="Y181" i="1" s="1"/>
  <c r="S181" i="1"/>
  <c r="K181" i="1"/>
  <c r="J181" i="1"/>
  <c r="I181" i="1"/>
  <c r="G181" i="1"/>
  <c r="X180" i="1"/>
  <c r="Y180" i="1" s="1"/>
  <c r="S180" i="1"/>
  <c r="J180" i="1"/>
  <c r="I180" i="1"/>
  <c r="G180" i="1"/>
  <c r="X179" i="1"/>
  <c r="Y179" i="1" s="1"/>
  <c r="S179" i="1"/>
  <c r="J179" i="1"/>
  <c r="I179" i="1"/>
  <c r="G179" i="1"/>
  <c r="X178" i="1"/>
  <c r="Y178" i="1" s="1"/>
  <c r="S178" i="1"/>
  <c r="J178" i="1"/>
  <c r="I178" i="1"/>
  <c r="G178" i="1"/>
  <c r="X177" i="1"/>
  <c r="Y177" i="1" s="1"/>
  <c r="S177" i="1"/>
  <c r="J177" i="1"/>
  <c r="I177" i="1"/>
  <c r="G177" i="1"/>
  <c r="X176" i="1"/>
  <c r="Y176" i="1" s="1"/>
  <c r="S176" i="1"/>
  <c r="J176" i="1"/>
  <c r="I176" i="1"/>
  <c r="G176" i="1"/>
  <c r="X175" i="1"/>
  <c r="Y175" i="1" s="1"/>
  <c r="S175" i="1"/>
  <c r="J175" i="1"/>
  <c r="I175" i="1"/>
  <c r="G175" i="1"/>
  <c r="X174" i="1"/>
  <c r="Y174" i="1" s="1"/>
  <c r="S174" i="1"/>
  <c r="J174" i="1"/>
  <c r="I174" i="1"/>
  <c r="G174" i="1"/>
  <c r="X173" i="1"/>
  <c r="Y173" i="1" s="1"/>
  <c r="S173" i="1"/>
  <c r="J173" i="1"/>
  <c r="I173" i="1"/>
  <c r="G173" i="1"/>
  <c r="X172" i="1"/>
  <c r="Y172" i="1" s="1"/>
  <c r="S172" i="1"/>
  <c r="J172" i="1"/>
  <c r="I172" i="1"/>
  <c r="G172" i="1"/>
  <c r="X171" i="1"/>
  <c r="Y171" i="1" s="1"/>
  <c r="S171" i="1"/>
  <c r="J171" i="1"/>
  <c r="I171" i="1"/>
  <c r="G171" i="1"/>
  <c r="X170" i="1"/>
  <c r="Y170" i="1" s="1"/>
  <c r="S170" i="1"/>
  <c r="K170" i="1"/>
  <c r="J170" i="1"/>
  <c r="I170" i="1"/>
  <c r="G170" i="1"/>
  <c r="X169" i="1"/>
  <c r="Y169" i="1" s="1"/>
  <c r="S169" i="1"/>
  <c r="J169" i="1"/>
  <c r="I169" i="1"/>
  <c r="G169" i="1"/>
  <c r="X168" i="1"/>
  <c r="Y168" i="1" s="1"/>
  <c r="S168" i="1"/>
  <c r="J168" i="1"/>
  <c r="I168" i="1"/>
  <c r="G168" i="1"/>
  <c r="X167" i="1"/>
  <c r="Y167" i="1" s="1"/>
  <c r="S167" i="1"/>
  <c r="J167" i="1"/>
  <c r="I167" i="1"/>
  <c r="G167" i="1"/>
  <c r="X165" i="1"/>
  <c r="Y165" i="1" s="1"/>
  <c r="S165" i="1"/>
  <c r="K165" i="1"/>
  <c r="J165" i="1"/>
  <c r="I165" i="1"/>
  <c r="G165" i="1"/>
  <c r="X164" i="1"/>
  <c r="Y164" i="1" s="1"/>
  <c r="S164" i="1"/>
  <c r="K164" i="1"/>
  <c r="J164" i="1"/>
  <c r="I164" i="1"/>
  <c r="G164" i="1"/>
  <c r="X163" i="1"/>
  <c r="Y163" i="1" s="1"/>
  <c r="S163" i="1"/>
  <c r="J163" i="1"/>
  <c r="I163" i="1"/>
  <c r="G163" i="1"/>
  <c r="X162" i="1"/>
  <c r="Y162" i="1" s="1"/>
  <c r="S162" i="1"/>
  <c r="J162" i="1"/>
  <c r="I162" i="1"/>
  <c r="G162" i="1"/>
  <c r="X161" i="1"/>
  <c r="Y161" i="1" s="1"/>
  <c r="S161" i="1"/>
  <c r="K161" i="1"/>
  <c r="J161" i="1"/>
  <c r="I161" i="1"/>
  <c r="G161" i="1"/>
  <c r="X160" i="1"/>
  <c r="Y160" i="1" s="1"/>
  <c r="S160" i="1"/>
  <c r="K160" i="1"/>
  <c r="J160" i="1"/>
  <c r="I160" i="1"/>
  <c r="G160" i="1"/>
  <c r="X159" i="1"/>
  <c r="Y159" i="1" s="1"/>
  <c r="S159" i="1"/>
  <c r="J159" i="1"/>
  <c r="I159" i="1"/>
  <c r="G159" i="1"/>
  <c r="X158" i="1"/>
  <c r="Y158" i="1" s="1"/>
  <c r="S158" i="1"/>
  <c r="J158" i="1"/>
  <c r="I158" i="1"/>
  <c r="G158" i="1"/>
  <c r="X157" i="1"/>
  <c r="Y157" i="1" s="1"/>
  <c r="S157" i="1"/>
  <c r="J157" i="1"/>
  <c r="I157" i="1"/>
  <c r="G157" i="1"/>
  <c r="X156" i="1"/>
  <c r="Y156" i="1" s="1"/>
  <c r="S156" i="1"/>
  <c r="J156" i="1"/>
  <c r="I156" i="1"/>
  <c r="G156" i="1"/>
  <c r="R148" i="1"/>
  <c r="H148" i="1"/>
  <c r="F147" i="1"/>
  <c r="F148" i="1" s="1"/>
  <c r="X145" i="1"/>
  <c r="Y145" i="1" s="1"/>
  <c r="S145" i="1"/>
  <c r="J145" i="1"/>
  <c r="I145" i="1"/>
  <c r="G145" i="1"/>
  <c r="X144" i="1"/>
  <c r="Y144" i="1" s="1"/>
  <c r="S144" i="1"/>
  <c r="K144" i="1"/>
  <c r="J144" i="1"/>
  <c r="I144" i="1"/>
  <c r="G144" i="1"/>
  <c r="X143" i="1"/>
  <c r="Y143" i="1" s="1"/>
  <c r="S143" i="1"/>
  <c r="J143" i="1"/>
  <c r="I143" i="1"/>
  <c r="G143" i="1"/>
  <c r="X142" i="1"/>
  <c r="Y142" i="1" s="1"/>
  <c r="S142" i="1"/>
  <c r="J142" i="1"/>
  <c r="I142" i="1"/>
  <c r="G142" i="1"/>
  <c r="X141" i="1"/>
  <c r="Y141" i="1" s="1"/>
  <c r="S141" i="1"/>
  <c r="J141" i="1"/>
  <c r="I141" i="1"/>
  <c r="G141" i="1"/>
  <c r="X140" i="1"/>
  <c r="Y140" i="1" s="1"/>
  <c r="S140" i="1"/>
  <c r="J140" i="1"/>
  <c r="I140" i="1"/>
  <c r="G140" i="1"/>
  <c r="X139" i="1"/>
  <c r="Y139" i="1" s="1"/>
  <c r="S139" i="1"/>
  <c r="K139" i="1"/>
  <c r="J139" i="1"/>
  <c r="I139" i="1"/>
  <c r="G139" i="1"/>
  <c r="X138" i="1"/>
  <c r="Y138" i="1" s="1"/>
  <c r="S138" i="1"/>
  <c r="J138" i="1"/>
  <c r="I138" i="1"/>
  <c r="G138" i="1"/>
  <c r="X137" i="1"/>
  <c r="Y137" i="1" s="1"/>
  <c r="S137" i="1"/>
  <c r="J137" i="1"/>
  <c r="I137" i="1"/>
  <c r="G137" i="1"/>
  <c r="H128" i="1"/>
  <c r="H129" i="1" s="1"/>
  <c r="F689" i="1" s="1"/>
  <c r="F128" i="1"/>
  <c r="F129" i="1" s="1"/>
  <c r="X126" i="1"/>
  <c r="Y126" i="1" s="1"/>
  <c r="S126" i="1"/>
  <c r="J126" i="1"/>
  <c r="I126" i="1"/>
  <c r="G126" i="1"/>
  <c r="X125" i="1"/>
  <c r="Y125" i="1" s="1"/>
  <c r="S125" i="1"/>
  <c r="K125" i="1"/>
  <c r="J125" i="1"/>
  <c r="I125" i="1"/>
  <c r="G125" i="1"/>
  <c r="X124" i="1"/>
  <c r="Y124" i="1" s="1"/>
  <c r="S124" i="1"/>
  <c r="J124" i="1"/>
  <c r="I124" i="1"/>
  <c r="G124" i="1"/>
  <c r="X123" i="1"/>
  <c r="Y123" i="1" s="1"/>
  <c r="S123" i="1"/>
  <c r="J123" i="1"/>
  <c r="I123" i="1"/>
  <c r="G123" i="1"/>
  <c r="X122" i="1"/>
  <c r="Y122" i="1" s="1"/>
  <c r="S122" i="1"/>
  <c r="J122" i="1"/>
  <c r="I122" i="1"/>
  <c r="G122" i="1"/>
  <c r="X121" i="1"/>
  <c r="Y121" i="1" s="1"/>
  <c r="S121" i="1"/>
  <c r="K121" i="1"/>
  <c r="J121" i="1"/>
  <c r="I121" i="1"/>
  <c r="G121" i="1"/>
  <c r="X120" i="1"/>
  <c r="Y120" i="1" s="1"/>
  <c r="S120" i="1"/>
  <c r="J120" i="1"/>
  <c r="I120" i="1"/>
  <c r="G120" i="1"/>
  <c r="R112" i="1"/>
  <c r="R129" i="1" s="1"/>
  <c r="H112" i="1"/>
  <c r="F111" i="1"/>
  <c r="F112" i="1" s="1"/>
  <c r="X109" i="1"/>
  <c r="Y109" i="1" s="1"/>
  <c r="S109" i="1"/>
  <c r="K109" i="1"/>
  <c r="J109" i="1"/>
  <c r="I109" i="1"/>
  <c r="G109" i="1"/>
  <c r="X108" i="1"/>
  <c r="Y108" i="1" s="1"/>
  <c r="S108" i="1"/>
  <c r="J108" i="1"/>
  <c r="I108" i="1"/>
  <c r="G108" i="1"/>
  <c r="X107" i="1"/>
  <c r="Y107" i="1" s="1"/>
  <c r="S107" i="1"/>
  <c r="K107" i="1"/>
  <c r="J107" i="1"/>
  <c r="I107" i="1"/>
  <c r="G107" i="1"/>
  <c r="X106" i="1"/>
  <c r="Y106" i="1" s="1"/>
  <c r="S106" i="1"/>
  <c r="K106" i="1"/>
  <c r="J106" i="1"/>
  <c r="I106" i="1"/>
  <c r="G106" i="1"/>
  <c r="X105" i="1"/>
  <c r="Y105" i="1" s="1"/>
  <c r="S105" i="1"/>
  <c r="K105" i="1"/>
  <c r="J105" i="1"/>
  <c r="I105" i="1"/>
  <c r="G105" i="1"/>
  <c r="X104" i="1"/>
  <c r="Y104" i="1" s="1"/>
  <c r="S104" i="1"/>
  <c r="J104" i="1"/>
  <c r="I104" i="1"/>
  <c r="G104" i="1"/>
  <c r="X103" i="1"/>
  <c r="Y103" i="1" s="1"/>
  <c r="S103" i="1"/>
  <c r="K103" i="1"/>
  <c r="J103" i="1"/>
  <c r="I103" i="1"/>
  <c r="G103" i="1"/>
  <c r="X102" i="1"/>
  <c r="Y102" i="1" s="1"/>
  <c r="S102" i="1"/>
  <c r="K102" i="1"/>
  <c r="J102" i="1"/>
  <c r="I102" i="1"/>
  <c r="G102" i="1"/>
  <c r="X101" i="1"/>
  <c r="Y101" i="1" s="1"/>
  <c r="S101" i="1"/>
  <c r="J101" i="1"/>
  <c r="I101" i="1"/>
  <c r="G101" i="1"/>
  <c r="X100" i="1"/>
  <c r="Y100" i="1" s="1"/>
  <c r="S100" i="1"/>
  <c r="K100" i="1"/>
  <c r="J100" i="1"/>
  <c r="I100" i="1"/>
  <c r="G100" i="1"/>
  <c r="X99" i="1"/>
  <c r="Y99" i="1" s="1"/>
  <c r="S99" i="1"/>
  <c r="J99" i="1"/>
  <c r="I99" i="1"/>
  <c r="G99" i="1"/>
  <c r="X98" i="1"/>
  <c r="Y98" i="1" s="1"/>
  <c r="S98" i="1"/>
  <c r="J98" i="1"/>
  <c r="I98" i="1"/>
  <c r="G98" i="1"/>
  <c r="X97" i="1"/>
  <c r="Y97" i="1" s="1"/>
  <c r="S97" i="1"/>
  <c r="K97" i="1"/>
  <c r="J97" i="1"/>
  <c r="I97" i="1"/>
  <c r="G97" i="1"/>
  <c r="X96" i="1"/>
  <c r="Y96" i="1" s="1"/>
  <c r="S96" i="1"/>
  <c r="J96" i="1"/>
  <c r="I96" i="1"/>
  <c r="G96" i="1"/>
  <c r="H88" i="1"/>
  <c r="F87" i="1"/>
  <c r="F88" i="1" s="1"/>
  <c r="X85" i="1"/>
  <c r="Y85" i="1" s="1"/>
  <c r="K85" i="1"/>
  <c r="J85" i="1"/>
  <c r="I85" i="1"/>
  <c r="G85" i="1"/>
  <c r="X84" i="1"/>
  <c r="Y84" i="1" s="1"/>
  <c r="K84" i="1"/>
  <c r="J84" i="1"/>
  <c r="I84" i="1"/>
  <c r="G84" i="1"/>
  <c r="X83" i="1"/>
  <c r="Y83" i="1" s="1"/>
  <c r="K83" i="1"/>
  <c r="J83" i="1"/>
  <c r="I83" i="1"/>
  <c r="G83" i="1"/>
  <c r="X82" i="1"/>
  <c r="Y82" i="1" s="1"/>
  <c r="J82" i="1"/>
  <c r="I82" i="1"/>
  <c r="G82" i="1"/>
  <c r="X81" i="1"/>
  <c r="Y81" i="1" s="1"/>
  <c r="J81" i="1"/>
  <c r="I81" i="1"/>
  <c r="G81" i="1"/>
  <c r="X80" i="1"/>
  <c r="Y80" i="1" s="1"/>
  <c r="J80" i="1"/>
  <c r="I80" i="1"/>
  <c r="G80" i="1"/>
  <c r="X79" i="1"/>
  <c r="Y79" i="1" s="1"/>
  <c r="K79" i="1"/>
  <c r="J79" i="1"/>
  <c r="I79" i="1"/>
  <c r="G79" i="1"/>
  <c r="X78" i="1"/>
  <c r="Y78" i="1" s="1"/>
  <c r="J78" i="1"/>
  <c r="I78" i="1"/>
  <c r="G78" i="1"/>
  <c r="X77" i="1"/>
  <c r="Y77" i="1" s="1"/>
  <c r="J77" i="1"/>
  <c r="I77" i="1"/>
  <c r="G77" i="1"/>
  <c r="X76" i="1"/>
  <c r="Y76" i="1" s="1"/>
  <c r="J76" i="1"/>
  <c r="I76" i="1"/>
  <c r="G76" i="1"/>
  <c r="X75" i="1"/>
  <c r="Y75" i="1" s="1"/>
  <c r="J75" i="1"/>
  <c r="I75" i="1"/>
  <c r="G75" i="1"/>
  <c r="X74" i="1"/>
  <c r="Y74" i="1" s="1"/>
  <c r="K74" i="1"/>
  <c r="J74" i="1"/>
  <c r="I74" i="1"/>
  <c r="G74" i="1"/>
  <c r="X73" i="1"/>
  <c r="Y73" i="1" s="1"/>
  <c r="J73" i="1"/>
  <c r="I73" i="1"/>
  <c r="G73" i="1"/>
  <c r="X72" i="1"/>
  <c r="Y72" i="1" s="1"/>
  <c r="J72" i="1"/>
  <c r="I72" i="1"/>
  <c r="G72" i="1"/>
  <c r="X71" i="1"/>
  <c r="Y71" i="1" s="1"/>
  <c r="X69" i="1"/>
  <c r="Y69" i="1" s="1"/>
  <c r="J69" i="1"/>
  <c r="I69" i="1"/>
  <c r="G69" i="1"/>
  <c r="Y68" i="1"/>
  <c r="J68" i="1"/>
  <c r="I68" i="1"/>
  <c r="G68" i="1"/>
  <c r="X67" i="1"/>
  <c r="Y67" i="1" s="1"/>
  <c r="J67" i="1"/>
  <c r="I67" i="1"/>
  <c r="G67" i="1"/>
  <c r="X66" i="1"/>
  <c r="Y66" i="1" s="1"/>
  <c r="X65" i="1"/>
  <c r="Y65" i="1" s="1"/>
  <c r="J65" i="1"/>
  <c r="I65" i="1"/>
  <c r="G65" i="1"/>
  <c r="X64" i="1"/>
  <c r="Y64" i="1" s="1"/>
  <c r="K64" i="1"/>
  <c r="J64" i="1"/>
  <c r="I64" i="1"/>
  <c r="G64" i="1"/>
  <c r="X63" i="1"/>
  <c r="Y63" i="1" s="1"/>
  <c r="J63" i="1"/>
  <c r="I63" i="1"/>
  <c r="G63" i="1"/>
  <c r="X62" i="1"/>
  <c r="Y62" i="1" s="1"/>
  <c r="J62" i="1"/>
  <c r="I62" i="1"/>
  <c r="G62" i="1"/>
  <c r="X61" i="1"/>
  <c r="Y61" i="1" s="1"/>
  <c r="J61" i="1"/>
  <c r="I61" i="1"/>
  <c r="G61" i="1"/>
  <c r="X60" i="1"/>
  <c r="Y60" i="1" s="1"/>
  <c r="K60" i="1"/>
  <c r="J60" i="1"/>
  <c r="I60" i="1"/>
  <c r="G60" i="1"/>
  <c r="X59" i="1"/>
  <c r="Y59" i="1" s="1"/>
  <c r="J59" i="1"/>
  <c r="I59" i="1"/>
  <c r="G59" i="1"/>
  <c r="X58" i="1"/>
  <c r="Y58" i="1" s="1"/>
  <c r="K58" i="1"/>
  <c r="J58" i="1"/>
  <c r="I58" i="1"/>
  <c r="G58" i="1"/>
  <c r="X57" i="1"/>
  <c r="Y57" i="1" s="1"/>
  <c r="S57" i="1"/>
  <c r="J57" i="1"/>
  <c r="I57" i="1"/>
  <c r="G57" i="1"/>
  <c r="R49" i="1"/>
  <c r="H48" i="1"/>
  <c r="H49" i="1" s="1"/>
  <c r="F48" i="1"/>
  <c r="F49" i="1" s="1"/>
  <c r="X46" i="1"/>
  <c r="Y46" i="1" s="1"/>
  <c r="S46" i="1"/>
  <c r="K46" i="1"/>
  <c r="J46" i="1"/>
  <c r="I46" i="1"/>
  <c r="G46" i="1"/>
  <c r="X45" i="1"/>
  <c r="Y45" i="1" s="1"/>
  <c r="S45" i="1"/>
  <c r="J45" i="1"/>
  <c r="I45" i="1"/>
  <c r="G45" i="1"/>
  <c r="X44" i="1"/>
  <c r="Y44" i="1" s="1"/>
  <c r="S44" i="1"/>
  <c r="K44" i="1"/>
  <c r="J44" i="1"/>
  <c r="I44" i="1"/>
  <c r="G44" i="1"/>
  <c r="X43" i="1"/>
  <c r="Y43" i="1" s="1"/>
  <c r="S43" i="1"/>
  <c r="K43" i="1"/>
  <c r="J43" i="1"/>
  <c r="I43" i="1"/>
  <c r="G43" i="1"/>
  <c r="R35" i="1"/>
  <c r="F34" i="1"/>
  <c r="F35" i="1" s="1"/>
  <c r="X32" i="1"/>
  <c r="Y32" i="1" s="1"/>
  <c r="S32" i="1"/>
  <c r="K32" i="1"/>
  <c r="J32" i="1"/>
  <c r="I32" i="1"/>
  <c r="G32" i="1"/>
  <c r="X31" i="1"/>
  <c r="Y31" i="1" s="1"/>
  <c r="S31" i="1"/>
  <c r="J31" i="1"/>
  <c r="I31" i="1"/>
  <c r="G31" i="1"/>
  <c r="X30" i="1"/>
  <c r="Y30" i="1" s="1"/>
  <c r="S30" i="1"/>
  <c r="J30" i="1"/>
  <c r="I30" i="1"/>
  <c r="G30" i="1"/>
  <c r="X29" i="1"/>
  <c r="Y29" i="1" s="1"/>
  <c r="S29" i="1"/>
  <c r="J29" i="1"/>
  <c r="I29" i="1"/>
  <c r="G29" i="1"/>
  <c r="X28" i="1"/>
  <c r="Y28" i="1" s="1"/>
  <c r="S28" i="1"/>
  <c r="K28" i="1"/>
  <c r="J28" i="1"/>
  <c r="I28" i="1"/>
  <c r="G28" i="1"/>
  <c r="X27" i="1"/>
  <c r="Y27" i="1" s="1"/>
  <c r="S27" i="1"/>
  <c r="J27" i="1"/>
  <c r="I27" i="1"/>
  <c r="G27" i="1"/>
  <c r="R19" i="1"/>
  <c r="K18" i="1"/>
  <c r="K19" i="1" s="1"/>
  <c r="F18" i="1"/>
  <c r="F19" i="1" s="1"/>
  <c r="X16" i="1"/>
  <c r="Y16" i="1" s="1"/>
  <c r="S16" i="1"/>
  <c r="J16" i="1"/>
  <c r="I16" i="1"/>
  <c r="G16" i="1"/>
  <c r="X15" i="1"/>
  <c r="Y15" i="1" s="1"/>
  <c r="S15" i="1"/>
  <c r="J15" i="1"/>
  <c r="I15" i="1"/>
  <c r="G15" i="1"/>
  <c r="X14" i="1"/>
  <c r="Y14" i="1" s="1"/>
  <c r="S14" i="1"/>
  <c r="J14" i="1"/>
  <c r="I14" i="1"/>
  <c r="G14" i="1"/>
  <c r="X13" i="1"/>
  <c r="Y13" i="1" s="1"/>
  <c r="S13" i="1"/>
  <c r="I13" i="1"/>
  <c r="G13" i="1"/>
  <c r="G18" i="1" l="1"/>
  <c r="G19" i="1" s="1"/>
  <c r="K147" i="1"/>
  <c r="K148" i="1" s="1"/>
  <c r="K128" i="1"/>
  <c r="K129" i="1" s="1"/>
  <c r="I689" i="1" s="1"/>
  <c r="I18" i="1"/>
  <c r="I19" i="1" s="1"/>
  <c r="G684" i="1" s="1"/>
  <c r="H704" i="1"/>
  <c r="G233" i="1"/>
  <c r="G234" i="1" s="1"/>
  <c r="G704" i="1" s="1"/>
  <c r="I696" i="1"/>
  <c r="F696" i="1"/>
  <c r="I694" i="1"/>
  <c r="F694" i="1"/>
  <c r="H694" i="1"/>
  <c r="F695" i="1"/>
  <c r="I695" i="1"/>
  <c r="I693" i="1"/>
  <c r="F692" i="1"/>
  <c r="F688" i="1"/>
  <c r="F685" i="1"/>
  <c r="F686" i="1"/>
  <c r="G34" i="1"/>
  <c r="G35" i="1" s="1"/>
  <c r="E685" i="1" s="1"/>
  <c r="J18" i="1"/>
  <c r="J19" i="1" s="1"/>
  <c r="I34" i="1"/>
  <c r="I35" i="1" s="1"/>
  <c r="F687" i="1"/>
  <c r="K34" i="1"/>
  <c r="K35" i="1" s="1"/>
  <c r="U27" i="1"/>
  <c r="T27" i="1"/>
  <c r="T29" i="1"/>
  <c r="U29" i="1"/>
  <c r="I147" i="1"/>
  <c r="I148" i="1" s="1"/>
  <c r="U141" i="1"/>
  <c r="T141" i="1"/>
  <c r="U176" i="1"/>
  <c r="T176" i="1"/>
  <c r="T16" i="1"/>
  <c r="U16" i="1"/>
  <c r="U57" i="1"/>
  <c r="U88" i="1" s="1"/>
  <c r="T57" i="1"/>
  <c r="T15" i="1"/>
  <c r="U15" i="1"/>
  <c r="J34" i="1"/>
  <c r="J35" i="1" s="1"/>
  <c r="T31" i="1"/>
  <c r="U31" i="1"/>
  <c r="J111" i="1"/>
  <c r="J112" i="1" s="1"/>
  <c r="U98" i="1"/>
  <c r="T98" i="1"/>
  <c r="T99" i="1"/>
  <c r="U99" i="1"/>
  <c r="U100" i="1"/>
  <c r="T100" i="1"/>
  <c r="G147" i="1"/>
  <c r="G148" i="1" s="1"/>
  <c r="U142" i="1"/>
  <c r="T142" i="1"/>
  <c r="U157" i="1"/>
  <c r="T157" i="1"/>
  <c r="U171" i="1"/>
  <c r="T171" i="1"/>
  <c r="U177" i="1"/>
  <c r="T177" i="1"/>
  <c r="T199" i="1"/>
  <c r="U199" i="1"/>
  <c r="T205" i="1"/>
  <c r="U205" i="1"/>
  <c r="T211" i="1"/>
  <c r="U211" i="1"/>
  <c r="T217" i="1"/>
  <c r="U217" i="1"/>
  <c r="T223" i="1"/>
  <c r="U223" i="1"/>
  <c r="U257" i="1"/>
  <c r="T257" i="1"/>
  <c r="U258" i="1"/>
  <c r="T258" i="1"/>
  <c r="K359" i="1"/>
  <c r="K360" i="1" s="1"/>
  <c r="J273" i="1"/>
  <c r="J274" i="1" s="1"/>
  <c r="T285" i="1"/>
  <c r="U304" i="1"/>
  <c r="U324" i="1" s="1"/>
  <c r="T304" i="1"/>
  <c r="T222" i="1"/>
  <c r="U222" i="1"/>
  <c r="U28" i="1"/>
  <c r="T28" i="1"/>
  <c r="J48" i="1"/>
  <c r="J49" i="1" s="1"/>
  <c r="U124" i="1"/>
  <c r="T124" i="1"/>
  <c r="U125" i="1"/>
  <c r="T125" i="1"/>
  <c r="J147" i="1"/>
  <c r="J148" i="1" s="1"/>
  <c r="T138" i="1"/>
  <c r="U138" i="1"/>
  <c r="T139" i="1"/>
  <c r="U139" i="1"/>
  <c r="T140" i="1"/>
  <c r="U140" i="1"/>
  <c r="T167" i="1"/>
  <c r="U167" i="1"/>
  <c r="U175" i="1"/>
  <c r="T175" i="1"/>
  <c r="U183" i="1"/>
  <c r="T183" i="1"/>
  <c r="I233" i="1"/>
  <c r="I234" i="1" s="1"/>
  <c r="T203" i="1"/>
  <c r="U203" i="1"/>
  <c r="T209" i="1"/>
  <c r="U209" i="1"/>
  <c r="T215" i="1"/>
  <c r="U215" i="1"/>
  <c r="T221" i="1"/>
  <c r="U221" i="1"/>
  <c r="T227" i="1"/>
  <c r="U227" i="1"/>
  <c r="G248" i="1"/>
  <c r="G249" i="1" s="1"/>
  <c r="E692" i="1" s="1"/>
  <c r="T270" i="1"/>
  <c r="U270" i="1"/>
  <c r="T271" i="1"/>
  <c r="U271" i="1"/>
  <c r="G295" i="1"/>
  <c r="G296" i="1" s="1"/>
  <c r="I359" i="1"/>
  <c r="I360" i="1" s="1"/>
  <c r="K657" i="1"/>
  <c r="K658" i="1" s="1"/>
  <c r="U96" i="1"/>
  <c r="T96" i="1"/>
  <c r="U156" i="1"/>
  <c r="T156" i="1"/>
  <c r="T168" i="1"/>
  <c r="U168" i="1"/>
  <c r="U170" i="1"/>
  <c r="T170" i="1"/>
  <c r="T210" i="1"/>
  <c r="U210" i="1"/>
  <c r="T13" i="1"/>
  <c r="U13" i="1"/>
  <c r="T45" i="1"/>
  <c r="U45" i="1"/>
  <c r="K111" i="1"/>
  <c r="K112" i="1" s="1"/>
  <c r="U108" i="1"/>
  <c r="T108" i="1"/>
  <c r="U109" i="1"/>
  <c r="T109" i="1"/>
  <c r="U123" i="1"/>
  <c r="T123" i="1"/>
  <c r="T137" i="1"/>
  <c r="U137" i="1"/>
  <c r="U163" i="1"/>
  <c r="T163" i="1"/>
  <c r="U164" i="1"/>
  <c r="T164" i="1"/>
  <c r="U165" i="1"/>
  <c r="T165" i="1"/>
  <c r="T174" i="1"/>
  <c r="U174" i="1"/>
  <c r="T180" i="1"/>
  <c r="U180" i="1"/>
  <c r="U181" i="1"/>
  <c r="T181" i="1"/>
  <c r="U182" i="1"/>
  <c r="T182" i="1"/>
  <c r="J233" i="1"/>
  <c r="J234" i="1" s="1"/>
  <c r="T196" i="1"/>
  <c r="U196" i="1"/>
  <c r="T231" i="1"/>
  <c r="U231" i="1"/>
  <c r="I248" i="1"/>
  <c r="I249" i="1" s="1"/>
  <c r="G261" i="1"/>
  <c r="G262" i="1" s="1"/>
  <c r="E693" i="1" s="1"/>
  <c r="J359" i="1"/>
  <c r="J360" i="1" s="1"/>
  <c r="I560" i="1"/>
  <c r="I561" i="1" s="1"/>
  <c r="U14" i="1"/>
  <c r="T14" i="1"/>
  <c r="T30" i="1"/>
  <c r="U30" i="1"/>
  <c r="U32" i="1"/>
  <c r="T32" i="1"/>
  <c r="U97" i="1"/>
  <c r="T97" i="1"/>
  <c r="T126" i="1"/>
  <c r="U126" i="1"/>
  <c r="T169" i="1"/>
  <c r="U169" i="1"/>
  <c r="T198" i="1"/>
  <c r="U198" i="1"/>
  <c r="U46" i="1"/>
  <c r="T46" i="1"/>
  <c r="U43" i="1"/>
  <c r="T43" i="1"/>
  <c r="U44" i="1"/>
  <c r="T44" i="1"/>
  <c r="G111" i="1"/>
  <c r="G112" i="1" s="1"/>
  <c r="E688" i="1" s="1"/>
  <c r="U104" i="1"/>
  <c r="T104" i="1"/>
  <c r="T105" i="1"/>
  <c r="U105" i="1"/>
  <c r="T106" i="1"/>
  <c r="U106" i="1"/>
  <c r="T107" i="1"/>
  <c r="U107" i="1"/>
  <c r="U122" i="1"/>
  <c r="T122" i="1"/>
  <c r="T145" i="1"/>
  <c r="U145" i="1"/>
  <c r="U159" i="1"/>
  <c r="T159" i="1"/>
  <c r="T160" i="1"/>
  <c r="U160" i="1"/>
  <c r="T162" i="1"/>
  <c r="U162" i="1"/>
  <c r="T173" i="1"/>
  <c r="U173" i="1"/>
  <c r="T179" i="1"/>
  <c r="U179" i="1"/>
  <c r="T201" i="1"/>
  <c r="U201" i="1"/>
  <c r="T207" i="1"/>
  <c r="U207" i="1"/>
  <c r="T213" i="1"/>
  <c r="U213" i="1"/>
  <c r="T219" i="1"/>
  <c r="U219" i="1"/>
  <c r="T225" i="1"/>
  <c r="U225" i="1"/>
  <c r="J248" i="1"/>
  <c r="J249" i="1" s="1"/>
  <c r="K248" i="1"/>
  <c r="K249" i="1" s="1"/>
  <c r="U246" i="1"/>
  <c r="T246" i="1"/>
  <c r="I261" i="1"/>
  <c r="I262" i="1" s="1"/>
  <c r="I111" i="1"/>
  <c r="I112" i="1" s="1"/>
  <c r="T101" i="1"/>
  <c r="U101" i="1"/>
  <c r="U102" i="1"/>
  <c r="T102" i="1"/>
  <c r="U103" i="1"/>
  <c r="T103" i="1"/>
  <c r="U120" i="1"/>
  <c r="T120" i="1"/>
  <c r="U121" i="1"/>
  <c r="T121" i="1"/>
  <c r="U143" i="1"/>
  <c r="T143" i="1"/>
  <c r="T144" i="1"/>
  <c r="U144" i="1"/>
  <c r="U158" i="1"/>
  <c r="T158" i="1"/>
  <c r="T161" i="1"/>
  <c r="U161" i="1"/>
  <c r="U172" i="1"/>
  <c r="T172" i="1"/>
  <c r="U178" i="1"/>
  <c r="T178" i="1"/>
  <c r="T194" i="1"/>
  <c r="U194" i="1"/>
  <c r="T200" i="1"/>
  <c r="U200" i="1"/>
  <c r="T206" i="1"/>
  <c r="U206" i="1"/>
  <c r="T212" i="1"/>
  <c r="U212" i="1"/>
  <c r="T218" i="1"/>
  <c r="U218" i="1"/>
  <c r="T224" i="1"/>
  <c r="U224" i="1"/>
  <c r="U242" i="1"/>
  <c r="T242" i="1"/>
  <c r="U243" i="1"/>
  <c r="T243" i="1"/>
  <c r="U244" i="1"/>
  <c r="T244" i="1"/>
  <c r="U245" i="1"/>
  <c r="T245" i="1"/>
  <c r="J261" i="1"/>
  <c r="J262" i="1" s="1"/>
  <c r="U259" i="1"/>
  <c r="T259" i="1"/>
  <c r="G273" i="1"/>
  <c r="G274" i="1" s="1"/>
  <c r="E695" i="1" s="1"/>
  <c r="I657" i="1"/>
  <c r="I658" i="1" s="1"/>
  <c r="J657" i="1"/>
  <c r="J658" i="1" s="1"/>
  <c r="J637" i="1"/>
  <c r="J638" i="1" s="1"/>
  <c r="K637" i="1"/>
  <c r="K638" i="1" s="1"/>
  <c r="I637" i="1"/>
  <c r="I638" i="1" s="1"/>
  <c r="J605" i="1"/>
  <c r="J606" i="1" s="1"/>
  <c r="K605" i="1"/>
  <c r="K606" i="1" s="1"/>
  <c r="I605" i="1"/>
  <c r="I606" i="1" s="1"/>
  <c r="K560" i="1"/>
  <c r="K561" i="1" s="1"/>
  <c r="I520" i="1"/>
  <c r="I521" i="1" s="1"/>
  <c r="K520" i="1"/>
  <c r="K521" i="1" s="1"/>
  <c r="J494" i="1"/>
  <c r="J495" i="1" s="1"/>
  <c r="J478" i="1"/>
  <c r="J479" i="1" s="1"/>
  <c r="I478" i="1"/>
  <c r="I479" i="1" s="1"/>
  <c r="J425" i="1"/>
  <c r="J426" i="1" s="1"/>
  <c r="I425" i="1"/>
  <c r="I426" i="1" s="1"/>
  <c r="I323" i="1"/>
  <c r="I324" i="1" s="1"/>
  <c r="G323" i="1"/>
  <c r="J323" i="1"/>
  <c r="J324" i="1" s="1"/>
  <c r="T293" i="1"/>
  <c r="T289" i="1"/>
  <c r="T286" i="1"/>
  <c r="I295" i="1"/>
  <c r="I296" i="1" s="1"/>
  <c r="T292" i="1"/>
  <c r="U296" i="1"/>
  <c r="T290" i="1"/>
  <c r="T291" i="1"/>
  <c r="T284" i="1"/>
  <c r="T287" i="1"/>
  <c r="T288" i="1"/>
  <c r="T283" i="1"/>
  <c r="I273" i="1"/>
  <c r="I274" i="1" s="1"/>
  <c r="G87" i="1"/>
  <c r="G88" i="1" s="1"/>
  <c r="J87" i="1"/>
  <c r="J88" i="1" s="1"/>
  <c r="K87" i="1"/>
  <c r="K88" i="1" s="1"/>
  <c r="I87" i="1"/>
  <c r="I88" i="1" s="1"/>
  <c r="T202" i="1"/>
  <c r="T208" i="1"/>
  <c r="T216" i="1"/>
  <c r="T229" i="1"/>
  <c r="T230" i="1"/>
  <c r="T214" i="1"/>
  <c r="T228" i="1"/>
  <c r="T195" i="1"/>
  <c r="T197" i="1"/>
  <c r="T220" i="1"/>
  <c r="T226" i="1"/>
  <c r="T204" i="1"/>
  <c r="K233" i="1"/>
  <c r="K234" i="1" s="1"/>
  <c r="K185" i="1"/>
  <c r="K186" i="1" s="1"/>
  <c r="I185" i="1"/>
  <c r="I186" i="1" s="1"/>
  <c r="J185" i="1"/>
  <c r="J186" i="1" s="1"/>
  <c r="G185" i="1"/>
  <c r="G186" i="1" s="1"/>
  <c r="J128" i="1"/>
  <c r="J129" i="1" s="1"/>
  <c r="G128" i="1"/>
  <c r="I128" i="1"/>
  <c r="I129" i="1" s="1"/>
  <c r="I48" i="1"/>
  <c r="I49" i="1" s="1"/>
  <c r="G48" i="1"/>
  <c r="G49" i="1" s="1"/>
  <c r="K48" i="1"/>
  <c r="K49" i="1" s="1"/>
  <c r="F704" i="1"/>
  <c r="H703" i="1"/>
  <c r="F684" i="1"/>
  <c r="E684" i="1"/>
  <c r="F703" i="1"/>
  <c r="I684" i="1"/>
  <c r="F699" i="1"/>
  <c r="I494" i="1"/>
  <c r="I495" i="1" s="1"/>
  <c r="F660" i="1"/>
  <c r="J560" i="1"/>
  <c r="J561" i="1" s="1"/>
  <c r="H660" i="1"/>
  <c r="J520" i="1"/>
  <c r="J521" i="1" s="1"/>
  <c r="F691" i="1"/>
  <c r="F690" i="1"/>
  <c r="G687" i="1" l="1"/>
  <c r="M19" i="1"/>
  <c r="S19" i="1" s="1"/>
  <c r="M426" i="1"/>
  <c r="S426" i="1" s="1"/>
  <c r="M296" i="1"/>
  <c r="S296" i="1" s="1"/>
  <c r="U262" i="1"/>
  <c r="U19" i="1"/>
  <c r="U274" i="1"/>
  <c r="M360" i="1"/>
  <c r="S360" i="1" s="1"/>
  <c r="U148" i="1"/>
  <c r="M148" i="1"/>
  <c r="S148" i="1" s="1"/>
  <c r="U249" i="1"/>
  <c r="M479" i="1"/>
  <c r="S479" i="1" s="1"/>
  <c r="E691" i="1"/>
  <c r="G691" i="1"/>
  <c r="I690" i="1"/>
  <c r="G696" i="1"/>
  <c r="H696" i="1"/>
  <c r="E694" i="1"/>
  <c r="G694" i="1"/>
  <c r="H695" i="1"/>
  <c r="G695" i="1"/>
  <c r="H693" i="1"/>
  <c r="G693" i="1"/>
  <c r="M262" i="1"/>
  <c r="S262" i="1" s="1"/>
  <c r="I692" i="1"/>
  <c r="H692" i="1"/>
  <c r="G692" i="1"/>
  <c r="H689" i="1"/>
  <c r="G689" i="1"/>
  <c r="I688" i="1"/>
  <c r="H688" i="1"/>
  <c r="G688" i="1"/>
  <c r="I685" i="1"/>
  <c r="G685" i="1"/>
  <c r="I686" i="1"/>
  <c r="G686" i="1"/>
  <c r="H684" i="1"/>
  <c r="U49" i="1"/>
  <c r="H686" i="1"/>
  <c r="H685" i="1"/>
  <c r="M49" i="1"/>
  <c r="S49" i="1" s="1"/>
  <c r="G324" i="1"/>
  <c r="M324" i="1" s="1"/>
  <c r="S324" i="1" s="1"/>
  <c r="M658" i="1"/>
  <c r="N658" i="1" s="1"/>
  <c r="I687" i="1"/>
  <c r="M606" i="1"/>
  <c r="S606" i="1" s="1"/>
  <c r="M561" i="1"/>
  <c r="S561" i="1" s="1"/>
  <c r="E686" i="1"/>
  <c r="M35" i="1"/>
  <c r="S35" i="1" s="1"/>
  <c r="G690" i="1"/>
  <c r="G129" i="1"/>
  <c r="M129" i="1" s="1"/>
  <c r="S129" i="1" s="1"/>
  <c r="M274" i="1"/>
  <c r="S274" i="1" s="1"/>
  <c r="M186" i="1"/>
  <c r="U129" i="1"/>
  <c r="H687" i="1"/>
  <c r="H690" i="1"/>
  <c r="M638" i="1"/>
  <c r="S638" i="1" s="1"/>
  <c r="I691" i="1"/>
  <c r="M521" i="1"/>
  <c r="S521" i="1" s="1"/>
  <c r="M495" i="1"/>
  <c r="S495" i="1" s="1"/>
  <c r="G699" i="1"/>
  <c r="M249" i="1"/>
  <c r="S249" i="1" s="1"/>
  <c r="U234" i="1"/>
  <c r="K704" i="1"/>
  <c r="I699" i="1"/>
  <c r="I660" i="1"/>
  <c r="I661" i="1" s="1"/>
  <c r="I662" i="1" s="1"/>
  <c r="H699" i="1"/>
  <c r="E699" i="1"/>
  <c r="M234" i="1"/>
  <c r="I704" i="1"/>
  <c r="U186" i="1"/>
  <c r="E690" i="1"/>
  <c r="U112" i="1"/>
  <c r="M112" i="1"/>
  <c r="S112" i="1" s="1"/>
  <c r="K660" i="1"/>
  <c r="K661" i="1" s="1"/>
  <c r="K662" i="1" s="1"/>
  <c r="I703" i="1"/>
  <c r="M88" i="1"/>
  <c r="S88" i="1" s="1"/>
  <c r="E687" i="1"/>
  <c r="K703" i="1"/>
  <c r="U35" i="1"/>
  <c r="J703" i="1"/>
  <c r="J660" i="1"/>
  <c r="F661" i="1"/>
  <c r="F662" i="1" s="1"/>
  <c r="F697" i="1"/>
  <c r="J704" i="1"/>
  <c r="S186" i="1"/>
  <c r="H691" i="1"/>
  <c r="H661" i="1"/>
  <c r="H662" i="1" s="1"/>
  <c r="G660" i="1" l="1"/>
  <c r="G661" i="1" s="1"/>
  <c r="G662" i="1" s="1"/>
  <c r="E696" i="1"/>
  <c r="E689" i="1"/>
  <c r="G697" i="1"/>
  <c r="S658" i="1"/>
  <c r="I697" i="1"/>
  <c r="G703" i="1"/>
  <c r="M703" i="1" s="1"/>
  <c r="M706" i="1" s="1"/>
  <c r="M708" i="1" s="1"/>
  <c r="H697" i="1"/>
  <c r="M704" i="1"/>
  <c r="J699" i="1"/>
  <c r="S234" i="1"/>
  <c r="J661" i="1"/>
  <c r="J662" i="1" s="1"/>
  <c r="E697" i="1" l="1"/>
  <c r="J697" i="1" s="1"/>
</calcChain>
</file>

<file path=xl/sharedStrings.xml><?xml version="1.0" encoding="utf-8"?>
<sst xmlns="http://schemas.openxmlformats.org/spreadsheetml/2006/main" count="2106" uniqueCount="648">
  <si>
    <t>H. CONGRESO DEL ESTADO</t>
  </si>
  <si>
    <t>AUDITORIA SUPERIOR DE MICHOACAN</t>
  </si>
  <si>
    <t>PLANTILLA DE PERSONAL</t>
  </si>
  <si>
    <t xml:space="preserve"> </t>
  </si>
  <si>
    <t>Municipio de Los Reyes</t>
  </si>
  <si>
    <t>UR: Presidencia</t>
  </si>
  <si>
    <t>NOMBRE DEL OCUPANTE</t>
  </si>
  <si>
    <t xml:space="preserve">PUESTO </t>
  </si>
  <si>
    <t>PLAZA</t>
  </si>
  <si>
    <t>FECHA DE INGRESO</t>
  </si>
  <si>
    <t>SUELDO</t>
  </si>
  <si>
    <t>DIA 31</t>
  </si>
  <si>
    <t>COMPENSACIÓN</t>
  </si>
  <si>
    <t>AGUINALDO</t>
  </si>
  <si>
    <t>PRIMA VACACIONAL</t>
  </si>
  <si>
    <t>QUINQUENIO</t>
  </si>
  <si>
    <t>Sueldo anterior</t>
  </si>
  <si>
    <t>Sueldo con el aumento</t>
  </si>
  <si>
    <t>Aguinaldo</t>
  </si>
  <si>
    <t>Prima vacacional</t>
  </si>
  <si>
    <t>Fecha de ingreso</t>
  </si>
  <si>
    <t>Quinquenio</t>
  </si>
  <si>
    <t>Comprobación del sueldo</t>
  </si>
  <si>
    <t>Dia 31</t>
  </si>
  <si>
    <t>Aumento</t>
  </si>
  <si>
    <t>Fecha de pago del quinquenio</t>
  </si>
  <si>
    <t>Número de meses trabajados</t>
  </si>
  <si>
    <t>Meses en años</t>
  </si>
  <si>
    <t>CHAVEZ MORFIN GABRIEL ALEJANDRO</t>
  </si>
  <si>
    <t>ASESOR</t>
  </si>
  <si>
    <t>B</t>
  </si>
  <si>
    <t>-</t>
  </si>
  <si>
    <t>JIMENEZ ALCAZAR JOSE GABRIEL</t>
  </si>
  <si>
    <t>SECRETARIO PARTICULAR</t>
  </si>
  <si>
    <t>C</t>
  </si>
  <si>
    <t>PALAFOX QUINTERO CESAR ENRIQUE</t>
  </si>
  <si>
    <t>PRESIDENTE</t>
  </si>
  <si>
    <t>PEÑALOSA MARTINEZ YADIRA</t>
  </si>
  <si>
    <t>AGENDA</t>
  </si>
  <si>
    <t>( B ) BASE</t>
  </si>
  <si>
    <t>( H ) HONORARIOS</t>
  </si>
  <si>
    <t xml:space="preserve">TOTAL QUINCENAL:   </t>
  </si>
  <si>
    <t>OK</t>
  </si>
  <si>
    <t>( C ) CONFIANZA</t>
  </si>
  <si>
    <t>( S ) SINDICALIZADO</t>
  </si>
  <si>
    <t>ok</t>
  </si>
  <si>
    <t>TOTAL ANUAL:</t>
  </si>
  <si>
    <t>UR: Sindicatura</t>
  </si>
  <si>
    <t>MORA FIGUEROA CARLOS</t>
  </si>
  <si>
    <t>OSEGUERA MEDINA MA. GUADALUPE</t>
  </si>
  <si>
    <t>SECRETARIA</t>
  </si>
  <si>
    <t>S</t>
  </si>
  <si>
    <t>OSEGUERA QUINTERO RAMON</t>
  </si>
  <si>
    <t>PICENO CENDEJAS LETICIA</t>
  </si>
  <si>
    <t>SINDICO</t>
  </si>
  <si>
    <t>RODRIGUEZ CANELA ZAYRA JANNET</t>
  </si>
  <si>
    <t>ROMERO ALEJANDRE RICARDO</t>
  </si>
  <si>
    <t>ENC. PATRIMONIO</t>
  </si>
  <si>
    <t>UR: Secretaria</t>
  </si>
  <si>
    <t>AVALOS MAGAÑA MARIVEL</t>
  </si>
  <si>
    <t>CARMONA GARCIA ANA LUCIA</t>
  </si>
  <si>
    <t>AUXILIAR</t>
  </si>
  <si>
    <t>PEÑA GARCIA DAVID ISRAEL</t>
  </si>
  <si>
    <t>SECRETARIO</t>
  </si>
  <si>
    <t>ZEPEDA FERNANDEZ LUIS</t>
  </si>
  <si>
    <t>PLAZA:</t>
  </si>
  <si>
    <t>UR: Oficialía</t>
  </si>
  <si>
    <t>ABARCA BLANCAS EDUARDO</t>
  </si>
  <si>
    <t>DIRECTOR DEL DEPORTE</t>
  </si>
  <si>
    <t>ABARCA NAVA JAVIER</t>
  </si>
  <si>
    <t>ENC. DE CAMPO</t>
  </si>
  <si>
    <t>07/02/2012</t>
  </si>
  <si>
    <t>ALVIZAR RANGEL MARIA ELENA</t>
  </si>
  <si>
    <t>BIBLIOTECARIA</t>
  </si>
  <si>
    <t>ANDRADE VARGAS MARTHA ANGELICA</t>
  </si>
  <si>
    <t>SECRETARIA DE PRESIDENCIA</t>
  </si>
  <si>
    <t>01/01/2002</t>
  </si>
  <si>
    <t>ANTONIO RAMIREZ HELIODORO</t>
  </si>
  <si>
    <t>DIR.DE ASUNTOS INDIGENAS</t>
  </si>
  <si>
    <t>BARBOSA VALENCIA MARCO TULIO</t>
  </si>
  <si>
    <t>DIR. INFORMATICA</t>
  </si>
  <si>
    <t>GARCIA MALDONADO LUZ MARITZA</t>
  </si>
  <si>
    <t>COORD. CASA DE LA CULTURA</t>
  </si>
  <si>
    <t>GUILLEN JIMENEZ ANA VIRGINIA</t>
  </si>
  <si>
    <t>SEC. ASUNTOS INDIGENAS</t>
  </si>
  <si>
    <t>GUTIERREZ BARAJAS PATRICIA</t>
  </si>
  <si>
    <t>AFANADORA</t>
  </si>
  <si>
    <t>16/10/2015</t>
  </si>
  <si>
    <t>HURTADO CASILLAS HECTOR ALFREDO</t>
  </si>
  <si>
    <t>MAESTRO DE DEPORTE</t>
  </si>
  <si>
    <t>N</t>
  </si>
  <si>
    <t>LUA MAGALLON LUZ MARIA</t>
  </si>
  <si>
    <t>15/07/2019</t>
  </si>
  <si>
    <t>MAGALLAN GUILLEN MIGUEL ANTONIO</t>
  </si>
  <si>
    <t>DIRECTOR DE JUVENTUD</t>
  </si>
  <si>
    <t>01/06/2020</t>
  </si>
  <si>
    <t>6</t>
  </si>
  <si>
    <t>MARTINEZ AGUILAR JORGE</t>
  </si>
  <si>
    <t>DIR. DESARROLLO RURAL</t>
  </si>
  <si>
    <t>MONROY MARTINEZ J. REFUGIO</t>
  </si>
  <si>
    <t>15/09/2018</t>
  </si>
  <si>
    <t>NARANJO GALVAN GABRIELA YARETH</t>
  </si>
  <si>
    <t>SRIA DESARROLLO RURAL</t>
  </si>
  <si>
    <t>NOVOA LOPEZ VICTOR MANUEL</t>
  </si>
  <si>
    <t>DIR. DEL MIGRANTE</t>
  </si>
  <si>
    <t>PULIDO GONZALEZ CLAUDIA GUADALUPE</t>
  </si>
  <si>
    <t>08/03/2004</t>
  </si>
  <si>
    <t>PULIDO VILLANUEVA MARIO</t>
  </si>
  <si>
    <t>AUXILIAR DEL MIGRANTE</t>
  </si>
  <si>
    <t>RAMIREZ COLLAZO MA TERESA</t>
  </si>
  <si>
    <t>AUXILIAR CASA DE LA CULTURA</t>
  </si>
  <si>
    <t>RANGEL QUINTANA LUIS ENRIQUE</t>
  </si>
  <si>
    <t>QUIROFÍSICO</t>
  </si>
  <si>
    <t>01/08/2019</t>
  </si>
  <si>
    <t>REYES CERVANTES ERICKA ALEJANDRA</t>
  </si>
  <si>
    <t>AUXILIAR DE ECOLOGIA</t>
  </si>
  <si>
    <t>REYES MADRIGAL ROSA</t>
  </si>
  <si>
    <t>16/06/1998</t>
  </si>
  <si>
    <t>RODRIGUEZ NARANJO ANA CRISTINA</t>
  </si>
  <si>
    <t>ROMERO OSEGUERA MIGUEL ANGEL</t>
  </si>
  <si>
    <t>OFICIAL MAYOR</t>
  </si>
  <si>
    <t>SANDOVAL BARAJAS JUAN CARLOS</t>
  </si>
  <si>
    <t>AUXILIAR DE DESARROLLO RURAL</t>
  </si>
  <si>
    <t>TORRES GUERRERO JUANA</t>
  </si>
  <si>
    <t>VALLADARES FIGUEROA CARMEN</t>
  </si>
  <si>
    <t>10/02/1997</t>
  </si>
  <si>
    <t>VILLANUEVA ALCAZAR MARIA GUADALUPE</t>
  </si>
  <si>
    <t>COBRADORA</t>
  </si>
  <si>
    <t>03/02/2012</t>
  </si>
  <si>
    <t>UR: Tesorería</t>
  </si>
  <si>
    <t>ALVAREZ BRAVO IGNACIO</t>
  </si>
  <si>
    <t>COBRADOR VIA PUBLICA</t>
  </si>
  <si>
    <t>AVILA BAUTISTA MARIA GUADALUPE</t>
  </si>
  <si>
    <t>ANALISTA</t>
  </si>
  <si>
    <t>CASTILLO RUIZ ALEJANDRO</t>
  </si>
  <si>
    <t>CORONA TORRES JESUS ALBERTO</t>
  </si>
  <si>
    <t>TESORERO</t>
  </si>
  <si>
    <t>GALVAN MALDONADO ERICKA</t>
  </si>
  <si>
    <t>TEC COMPUTO</t>
  </si>
  <si>
    <t>HERNANDEZ MORALES JESUS ABRAHAM</t>
  </si>
  <si>
    <t>SUPERVISOR</t>
  </si>
  <si>
    <t>HERNANDEZ RODRIGUEZ ELLIOT ARTURO</t>
  </si>
  <si>
    <t>MALDONADO HERNANDEZ RAMON</t>
  </si>
  <si>
    <t>MENDOZA RUIZ VICTOR ALFONSO</t>
  </si>
  <si>
    <t>ENC. DE EGRESOS</t>
  </si>
  <si>
    <t>NARANJO ZAMBRANO GUADALUPE</t>
  </si>
  <si>
    <t>NAVARRO GARCIA MA. DE LA LUZ</t>
  </si>
  <si>
    <t>ENC. DE INGRESOS</t>
  </si>
  <si>
    <t>OSEGUERA BARRAGAN SARA</t>
  </si>
  <si>
    <t>ENC. COMPRAS</t>
  </si>
  <si>
    <t>RAMIREZ ESCALERA MARIA DEL ROSARIO</t>
  </si>
  <si>
    <t>VALDEZ ZUÑIGA ARACELI</t>
  </si>
  <si>
    <t>UR: Sedesol</t>
  </si>
  <si>
    <t>CHAVEZ ARROYO MARGARITA</t>
  </si>
  <si>
    <t>COORD. DE SEDESOL</t>
  </si>
  <si>
    <t xml:space="preserve">FLORES ALVARES MARY ANDREA </t>
  </si>
  <si>
    <t>JUAREZ CEJA JESUS ALBERTO</t>
  </si>
  <si>
    <t>MANZO CRUZ MARIO</t>
  </si>
  <si>
    <t>ALBAÑIL</t>
  </si>
  <si>
    <t>MARQUEZ MAGAÑA JORGE OCTAVIO</t>
  </si>
  <si>
    <t>NUÑEZ PEDROZA GABRIELA</t>
  </si>
  <si>
    <t>PLANCARTE SANCHEZ MA. DIANA</t>
  </si>
  <si>
    <t>UR: Obras Publicas</t>
  </si>
  <si>
    <t>BUENROSTRO MENDEZ JAVIER</t>
  </si>
  <si>
    <t>AUXILIAR BLOQUERA</t>
  </si>
  <si>
    <t>CASTILLO SOLORZANO JOSE</t>
  </si>
  <si>
    <t>ENC. BLOQUERA</t>
  </si>
  <si>
    <t>CRUZ BERRIOS ROBERTO</t>
  </si>
  <si>
    <t>TECNICO</t>
  </si>
  <si>
    <t>GARCIA VALENCIA FRANCISCO JAVIER</t>
  </si>
  <si>
    <t>ASESOR OBRAS</t>
  </si>
  <si>
    <t>GARIBAY ARTEAGA MA. LEONARDA</t>
  </si>
  <si>
    <t>MALDONADO RUIZ LAURA CARMINA</t>
  </si>
  <si>
    <t>COORD. LEGAL</t>
  </si>
  <si>
    <t>MENDEZ ESCALERA HUGO ALBERTO</t>
  </si>
  <si>
    <t>DIR. DE OBRAS PUBLICAS</t>
  </si>
  <si>
    <t>RODRIGUEZ CASTILLO MARIA ALEJANDRA</t>
  </si>
  <si>
    <t>TORRES DIAZ RICARDO</t>
  </si>
  <si>
    <t>COORDINADOR</t>
  </si>
  <si>
    <t>UR: Servicios públicos</t>
  </si>
  <si>
    <t>AGUILERA PEREZ ANA LILIANA</t>
  </si>
  <si>
    <t>SECRETARIA PARQUES Y JARDINES</t>
  </si>
  <si>
    <t>ALCAZAR VALENCIA FRANCISCO JAVIER</t>
  </si>
  <si>
    <t>MANTTO EQUIPO</t>
  </si>
  <si>
    <t>ALVIZAR MARQUEZ LUIS JAVIER</t>
  </si>
  <si>
    <t>ARGUELLO BARRERA VICTOR MANUEL</t>
  </si>
  <si>
    <t>ADMINISTRADOR UNIDAD DEP.</t>
  </si>
  <si>
    <t>ARTEAGA VILLA SANDRA KARINA</t>
  </si>
  <si>
    <t>BARAJAS GALVAN RAFAEL</t>
  </si>
  <si>
    <t>INSPECTOR</t>
  </si>
  <si>
    <t>BARAJAS MALDONADO JORGE IVAN</t>
  </si>
  <si>
    <t>PARQUES Y JARDINES</t>
  </si>
  <si>
    <t>BARAJAS PRADO JESUS ALBERTO</t>
  </si>
  <si>
    <t>ENC. CAMPO</t>
  </si>
  <si>
    <t>CASTILLO MARTINEZ NELIDA</t>
  </si>
  <si>
    <t>FARFAN ZUÑIGA MARTIN ALEJANDRO</t>
  </si>
  <si>
    <t>MEDICO</t>
  </si>
  <si>
    <t>LUNAR VARGAS JOSE LUIS</t>
  </si>
  <si>
    <t>MAQUEDA MORFIN RIGOBERTO</t>
  </si>
  <si>
    <t>MENDEZ RAMIREZ LUCIA</t>
  </si>
  <si>
    <t>NUÑEZ VALENCIA ENRIQUE</t>
  </si>
  <si>
    <t>AYUDANTE DE ASEO</t>
  </si>
  <si>
    <t>PATIÑO SEGURA JORGE</t>
  </si>
  <si>
    <t>ENC. DE PARQUES Y JARDINES</t>
  </si>
  <si>
    <t>PINEDA ALANIS OSBALDO</t>
  </si>
  <si>
    <t>DIR. DE SERVICIOS PUB</t>
  </si>
  <si>
    <t>PLASCENCIA NUÑEZ GRACIELA</t>
  </si>
  <si>
    <t>PRADO BLANCAS VICTOR MANUEL</t>
  </si>
  <si>
    <t>AUXILIAR DE CAMPO</t>
  </si>
  <si>
    <t>REYES LOPEZ MIRIAM PATRICIA</t>
  </si>
  <si>
    <t>AUXILIAR DE SERVICIOS PÚBLICOS</t>
  </si>
  <si>
    <t>RINCON LOPEZ MIGUEL ANGEL</t>
  </si>
  <si>
    <t>ADMINISTRADOR RASTRO</t>
  </si>
  <si>
    <t>ROCHA RODRIGUEZ JOSE</t>
  </si>
  <si>
    <t>RODRIGUEZ MEDINA MIGUEL</t>
  </si>
  <si>
    <t>SUB-DIR. SERVICIOS PUB</t>
  </si>
  <si>
    <t>SANCHEZ CHAVEZ REYNALDO</t>
  </si>
  <si>
    <t>ADMINISTRADOR PANTEON</t>
  </si>
  <si>
    <t>SANDOVAL RUIZ JUAN MANUEL</t>
  </si>
  <si>
    <t>AUX. PANTEON</t>
  </si>
  <si>
    <t>ZAMBRANO FARIAS MIGUEL</t>
  </si>
  <si>
    <t>ELECTRICISTA</t>
  </si>
  <si>
    <t>ZAMBRANO ZAMBRANO SANTIAGO</t>
  </si>
  <si>
    <t>BARRENDERO</t>
  </si>
  <si>
    <t>ZEPEDA ESCAMILLA DIEGO JARED</t>
  </si>
  <si>
    <t>UR: Seguridad Publica</t>
  </si>
  <si>
    <t>AMBRIZ REYES MA. ISABEL</t>
  </si>
  <si>
    <t>ENC. FONDOS</t>
  </si>
  <si>
    <t>GUERRERO AGUILAR HUGO ANDRES</t>
  </si>
  <si>
    <t>GUERRERO RIOS SINTYA BELEN</t>
  </si>
  <si>
    <t>MANZO RODRIGUEZ EVA</t>
  </si>
  <si>
    <t>MENDOZA FARIAS FIDEL ALEJANDRO</t>
  </si>
  <si>
    <t>MONTUFAR AGUILERA ENEDINA</t>
  </si>
  <si>
    <t>ENC. SISTEMA</t>
  </si>
  <si>
    <t>NARANJO ZAMBRANO RAÚL</t>
  </si>
  <si>
    <t>MEDICO LEGISTA</t>
  </si>
  <si>
    <t>RODRIGUEZ GONZALEZ VERONICA</t>
  </si>
  <si>
    <t>AGUSTIN AGUSTIN JOSE LUIS</t>
  </si>
  <si>
    <t>AMEZCUA LUNAR GRISELDA</t>
  </si>
  <si>
    <t>ANGUIANO ROMERO GRACIELA</t>
  </si>
  <si>
    <t>BARAJAS MALDONADO CHRISTIAN OMAR</t>
  </si>
  <si>
    <t>BARRETO GUERRERO JANETH GUADALUPE</t>
  </si>
  <si>
    <t>BECERRA TORRES JAIME ANTONIO</t>
  </si>
  <si>
    <t>CARDENAS SANCHEZ ANGELICA</t>
  </si>
  <si>
    <t>CERVANTES NAVARRO IRMA JAQUELIN</t>
  </si>
  <si>
    <t>CERVANTES PULIDO NANCY MIRELLA</t>
  </si>
  <si>
    <t>DIEGO TELLO ISIDRO</t>
  </si>
  <si>
    <t>FELIPE GONZALEZ PANFILO</t>
  </si>
  <si>
    <t>GALVAN PADILLA MARIA ISABEL</t>
  </si>
  <si>
    <t>GARCIA GARCIA RODOLFO</t>
  </si>
  <si>
    <t>GAYTAN JAIMES ESPERANZA</t>
  </si>
  <si>
    <t>GODINEZ CHAVEZ ANDRES</t>
  </si>
  <si>
    <t>LOPEZ CASTAÑEDA ANDRES EDUARDO</t>
  </si>
  <si>
    <t>DOCTOR</t>
  </si>
  <si>
    <t>MENDOZA VALENCIA ERIC CONRADO</t>
  </si>
  <si>
    <t>MONTAÑO NOVOA JESUS</t>
  </si>
  <si>
    <t>ESCOLTA</t>
  </si>
  <si>
    <t>PALOMINOS ARREGUIN EMILIO</t>
  </si>
  <si>
    <t>PULIDO GUERRERO CLEOTILDE</t>
  </si>
  <si>
    <t>PULIDO HEREDIA JESUS</t>
  </si>
  <si>
    <t>REYES LOPEZ EDGAR EDUARDO</t>
  </si>
  <si>
    <t>RINCON MAGALLON LUIS ALFREDO</t>
  </si>
  <si>
    <t>UVENCE OCHOA SANDRA DELIA</t>
  </si>
  <si>
    <t>VALENCIA AYALA ANTONIO</t>
  </si>
  <si>
    <t>VIDALES MONTOYA GUILLERMO</t>
  </si>
  <si>
    <t>RUIZ PULIDO MELCHOR</t>
  </si>
  <si>
    <t>DIR. SEGURIDAD P</t>
  </si>
  <si>
    <t>JIMENEZ RIOS ADOLFO</t>
  </si>
  <si>
    <t>SUB-DIRECTOR</t>
  </si>
  <si>
    <t>QUINTERO ANAYA FRANCISCO JESUS</t>
  </si>
  <si>
    <t>ROCHA RODRIGUEZ FRANCISCO</t>
  </si>
  <si>
    <t>PROTECCION</t>
  </si>
  <si>
    <t>UR: Urbanismo</t>
  </si>
  <si>
    <t>CASTAÑEDA VALENCIA SALVADOR</t>
  </si>
  <si>
    <t>AUXILIAR DE URBANISMO</t>
  </si>
  <si>
    <t>GUTIERREZ ESQUIVEL MARTIN</t>
  </si>
  <si>
    <t>MAGALLAN TORRES MA. EFREN</t>
  </si>
  <si>
    <t>OSEGUERA BARAJAS EFREN</t>
  </si>
  <si>
    <t>PULIDO SALGADO SALVADOR</t>
  </si>
  <si>
    <t>DIR. DE URBANISMO</t>
  </si>
  <si>
    <t>UR: Comunicación social</t>
  </si>
  <si>
    <t>CARABES NUÑEZ VERONICA</t>
  </si>
  <si>
    <t>01/02/2019</t>
  </si>
  <si>
    <t>MONTES ANDRADE MA. DE LOS ANGELES</t>
  </si>
  <si>
    <t>ENC. DISEÑO</t>
  </si>
  <si>
    <t>QUINTERO AYALA CARLOS MAURICIO</t>
  </si>
  <si>
    <t>DIR. DE COMUNICACIÓN SOC</t>
  </si>
  <si>
    <t>UR: Contraloría</t>
  </si>
  <si>
    <t>ESQUIVEL LUA NADIA</t>
  </si>
  <si>
    <t>ACCESO A LA INFORMACION</t>
  </si>
  <si>
    <t>RAMIREZ GONZALEZ RICARDO</t>
  </si>
  <si>
    <t>CONTRALOR</t>
  </si>
  <si>
    <t>UR: Regidores</t>
  </si>
  <si>
    <t>ALCAZAR RODRIGUEZ ANDREA</t>
  </si>
  <si>
    <t>REGIDOR</t>
  </si>
  <si>
    <t>ALVAREZ QUINTERO ELPIDIO</t>
  </si>
  <si>
    <t>BARBOSA TORRES BERONICA</t>
  </si>
  <si>
    <t>BERNABE JERONIMO JOSE AUDEL</t>
  </si>
  <si>
    <t>ESCAMILLA GOMEZ ARACELI MILAGROS</t>
  </si>
  <si>
    <t>SECRETARIA REGIDORES</t>
  </si>
  <si>
    <t>FERNANDEZ LOPEZ BELEN LIZETH</t>
  </si>
  <si>
    <t>GOMEZ VARGAS HERNAN</t>
  </si>
  <si>
    <t>HIGAREDA MENDOZA MIGUEL</t>
  </si>
  <si>
    <t>MARTINEZ RODRIGUEZ OTILIA</t>
  </si>
  <si>
    <t>ROJAS RUIZ PEDRO</t>
  </si>
  <si>
    <t>TORRES GUTIERREZ HECTOR EDUARDO</t>
  </si>
  <si>
    <t>UR: DIF</t>
  </si>
  <si>
    <t>CERVANTES ANGUIANO ELIZABETH</t>
  </si>
  <si>
    <t>INTENDENTE</t>
  </si>
  <si>
    <t>CHAVEZ ESTRADA MA. TERESA</t>
  </si>
  <si>
    <t>CHAVEZ PEREZ NANCY</t>
  </si>
  <si>
    <t>DENTISTA DIF</t>
  </si>
  <si>
    <t>DIEGO MARQUEZ FLOR MAGALY</t>
  </si>
  <si>
    <t>AUX.SMDIF</t>
  </si>
  <si>
    <t>FERNANDEZ BARRAGAN JOSE DE JESUS</t>
  </si>
  <si>
    <t>JURIDICO</t>
  </si>
  <si>
    <t>FRANCO GONZALEZ MARCELA AIDE</t>
  </si>
  <si>
    <t>PROMOTORA ALIMENTACION</t>
  </si>
  <si>
    <t>GONZALEZ CACHO JUAN CARLOS</t>
  </si>
  <si>
    <t>GONZALEZ CHAVEZ BRISEYDA JACQUELINE</t>
  </si>
  <si>
    <t>TERAPEUTA</t>
  </si>
  <si>
    <t>MAGAÑA BARAJAS LORESMILA</t>
  </si>
  <si>
    <t>PROMOTORA EDAEYD</t>
  </si>
  <si>
    <t>MEDINA GONZALEZ KENIA YOCELIN</t>
  </si>
  <si>
    <t>AUX. PROMOTORA</t>
  </si>
  <si>
    <t>MENDEZ OLIVA MARIA TERESA</t>
  </si>
  <si>
    <t>TRABAJADORA</t>
  </si>
  <si>
    <t>MORALES ALVAREZ JOSEFINA</t>
  </si>
  <si>
    <t>PROMOTORA INAPAM</t>
  </si>
  <si>
    <t>NUÑEZ MORFIN GISELA</t>
  </si>
  <si>
    <t>COORD. SMDIF</t>
  </si>
  <si>
    <t>OROZCO SERAFIN SILVIA</t>
  </si>
  <si>
    <t>DIR. INSTITUTO DE LA MUJER</t>
  </si>
  <si>
    <t>PALOMINOS ALVIZAR ANTONIO DE JESUS</t>
  </si>
  <si>
    <t>CHOFER</t>
  </si>
  <si>
    <t>REYES CERVANTES XOCHILT CRISTINA</t>
  </si>
  <si>
    <t>ROMERO CERVANTES BEATRIZ EUGENIA</t>
  </si>
  <si>
    <t>SANCHEZ AVILA MIGUEL ANGEL</t>
  </si>
  <si>
    <t>PSICOLOGO</t>
  </si>
  <si>
    <t>UR: Seguridad Pública</t>
  </si>
  <si>
    <t>SUELDO BASE SEMANAL</t>
  </si>
  <si>
    <t>AGUILAR GOMEZ LEOBARDO</t>
  </si>
  <si>
    <t>POLICIA RAZO</t>
  </si>
  <si>
    <t>AGUILAR GOMEZ SERGIO OCTAVIO</t>
  </si>
  <si>
    <t>AGUILAR NIETO ANA PATRICIA</t>
  </si>
  <si>
    <t>PATRULLERO</t>
  </si>
  <si>
    <t>ALONSO ALONSO MA. VICTORIA</t>
  </si>
  <si>
    <t>ALONSO GONZALEZ HILARIO</t>
  </si>
  <si>
    <t>ALONSO MORA JOSE ANTONIO</t>
  </si>
  <si>
    <t>ALONSO MURILLO ANTONIO</t>
  </si>
  <si>
    <t>ALONSO REYES EDGAR</t>
  </si>
  <si>
    <t>ALONSO SANDOVAL SILVERIO</t>
  </si>
  <si>
    <t>ALVIZAR HIGAREDA ARMANDO DE JESUS</t>
  </si>
  <si>
    <t>ARROYO CALVILLO RICARDO</t>
  </si>
  <si>
    <t>ARROYO CALVILLO SUSANA</t>
  </si>
  <si>
    <t>ARTEAGA LUA ROBERTO</t>
  </si>
  <si>
    <t>AVILA LEON ERIKA</t>
  </si>
  <si>
    <t>AVILA LEON MAYRA GUADALUPE</t>
  </si>
  <si>
    <t>BARAJAS SANCHEZ JOSE LUIS</t>
  </si>
  <si>
    <t>BARAJAS SANCHEZ VICTOR HUGO</t>
  </si>
  <si>
    <t>BRAVO MARTINEZ ERNESTO</t>
  </si>
  <si>
    <t>OFICIAL BANCO</t>
  </si>
  <si>
    <t>CARABEZ CORTES ANA KAREN</t>
  </si>
  <si>
    <t>CASTILLO SAUCEDO FRANCISCO GUADALUPE</t>
  </si>
  <si>
    <t>CEJA RAMIREZ LUIS</t>
  </si>
  <si>
    <t>CERAS CERVANTES ANA DELIA</t>
  </si>
  <si>
    <t>CERVANTES ALONSO JOSE LUIS</t>
  </si>
  <si>
    <t>COMANDANTE</t>
  </si>
  <si>
    <t>CERVANTES PADILLA ALEJANDRO</t>
  </si>
  <si>
    <t>CHAVEZ BARJAS IRMA LETICIA</t>
  </si>
  <si>
    <t xml:space="preserve">TOTAL SEMANAL:   </t>
  </si>
  <si>
    <t>CHAVEZ BARAJAS JOSE ALEJANDRO</t>
  </si>
  <si>
    <t>CONTRERAS GARCIA MARIO EFREN</t>
  </si>
  <si>
    <t>DEL RIO MENDOZA ANTONIO</t>
  </si>
  <si>
    <t>ESCALERA ARO MIGUEL ANGEL</t>
  </si>
  <si>
    <t>ESCOBEDO DIEGO FRANCISCO</t>
  </si>
  <si>
    <t>ESCOBEDO ESTRADA ALFREDO</t>
  </si>
  <si>
    <t>ESCOBEDO MARTINEZ MOISES</t>
  </si>
  <si>
    <t>ESCOBEDO VASQUEZ ABRAHAM</t>
  </si>
  <si>
    <t>ESCOBEDO VASQUEZ ANTONIO</t>
  </si>
  <si>
    <t>ESPINOZA LOPEZ VALENTE VIDAL</t>
  </si>
  <si>
    <t>FRANCISCO DONJUAN DANIEL</t>
  </si>
  <si>
    <t>GABRIEL AGUSTIN ALBERTO</t>
  </si>
  <si>
    <t>0905/2020</t>
  </si>
  <si>
    <t>GABRIEL JUANILLO FLORINA</t>
  </si>
  <si>
    <t>GABRIEL MOLINA ALEJANDRO</t>
  </si>
  <si>
    <t>GABRIEL MOLINA SANTOS</t>
  </si>
  <si>
    <t>GALVAN ESTRADA JAVIER OMAR</t>
  </si>
  <si>
    <t>GALVAN ESTRADA JOSE ALFREDO</t>
  </si>
  <si>
    <t>GARCIA ZEPEDA FROYLAN</t>
  </si>
  <si>
    <t>GOMEZ AGUILAR FILOMENO</t>
  </si>
  <si>
    <t>GOMEZ AMEZCUA MARIA GUADALUPE</t>
  </si>
  <si>
    <t>GOMEZ AMEZCUA SALOMON</t>
  </si>
  <si>
    <t>GOMEZ MORAN FERNANDO HUMBERTO</t>
  </si>
  <si>
    <t>GUERRERO GODOY CARLOS</t>
  </si>
  <si>
    <t>GUTIERREZ ALVAREZ PEDRO</t>
  </si>
  <si>
    <t>GUTIERREZ ISLAS JUAN MARTIN</t>
  </si>
  <si>
    <t>HERNANDEZ FERNANDEZ IGNACIO</t>
  </si>
  <si>
    <t>HERNANDEZ GONZALEZ ANTONIO</t>
  </si>
  <si>
    <t>HERNANDEZ GUTIERREZ DAVID ISSAC</t>
  </si>
  <si>
    <t>HERNANDEZ GUTIERREZ GERARDO</t>
  </si>
  <si>
    <t>HERNANDEZ GUTIERREZ OCEATL IGNACIO</t>
  </si>
  <si>
    <t>HERNANDEZ LOPEZ BERNARDO</t>
  </si>
  <si>
    <t>HERNANDEZ MARQUEZ CARLOS ALBERTO</t>
  </si>
  <si>
    <t>HERNANDEZ RUIZ DIEGO FRANCISCO</t>
  </si>
  <si>
    <t>HIGAREDA GONZALEZ YOLANDA</t>
  </si>
  <si>
    <t>ISLAS GOMEZ JULIO CESAR</t>
  </si>
  <si>
    <t>ISLAS HERNANDEZ CHRISTIAN EDUARDO</t>
  </si>
  <si>
    <t>ISLAS ISLAS ABEL</t>
  </si>
  <si>
    <t>ISLAS RUIZ ERICK NOE</t>
  </si>
  <si>
    <t>JIMENEZ RIOS JOSE</t>
  </si>
  <si>
    <t>JIMENEZ SOLIS ADOLFO</t>
  </si>
  <si>
    <t>LOPEZ AGUILAR LUIS ALFONSO</t>
  </si>
  <si>
    <t>LOPEZ MARBAN SANTOS</t>
  </si>
  <si>
    <t>LUNA YEPEZ ALAN GIOVANNI</t>
  </si>
  <si>
    <t>MAGAÑA PULIDO EDUARDO</t>
  </si>
  <si>
    <t>MANZO SEBASTIAN JUAN</t>
  </si>
  <si>
    <t>MARTINEZ DIEGO JOSE LUIS</t>
  </si>
  <si>
    <t>MARTINEZ HERNANDEZ MARIA GUADALUPE</t>
  </si>
  <si>
    <t>POLICIA</t>
  </si>
  <si>
    <t>MARTINEZ MENDOZA MAYRA PATRICIA</t>
  </si>
  <si>
    <t>MEDINA BARRAGAN JESUS ELESBA</t>
  </si>
  <si>
    <t>MENDEZ ARROYO JAVIER</t>
  </si>
  <si>
    <t>MENDOZA AVIÑA JOSE DE JESUS</t>
  </si>
  <si>
    <t>MENDOZA OCHOA ROGELIO</t>
  </si>
  <si>
    <t xml:space="preserve">MOJICA GODOY ELVIS RAYMUNDO </t>
  </si>
  <si>
    <t>NICOLAS ANDRES ALFREDO</t>
  </si>
  <si>
    <t>OCHOA ACOSTA JESUS MIGUEL</t>
  </si>
  <si>
    <t>ORTIZ CUSTODIO ADELITA</t>
  </si>
  <si>
    <t>RADIO OPERADOR</t>
  </si>
  <si>
    <t>ORTIZ CUSTODIO BENITO</t>
  </si>
  <si>
    <t>ORTIZ MORA MIGUEL ANGEL</t>
  </si>
  <si>
    <t>OSEGUERA SANCHEZ RIGOBERTO</t>
  </si>
  <si>
    <t>PAEZ SANDOVAL JUAN PABLO</t>
  </si>
  <si>
    <t>PEÑA GUERRERO JOSE</t>
  </si>
  <si>
    <t>RAMIREZ DIEGO SERGIO</t>
  </si>
  <si>
    <t>RAMIREZ FRANCISCO REYNALDO</t>
  </si>
  <si>
    <t>RAMIREZ ROSALES FIDEL</t>
  </si>
  <si>
    <t>RAMIREZ RUELAS EDUARDO</t>
  </si>
  <si>
    <t>RAMIREZ RUELAS FRANCISCO JAVIER</t>
  </si>
  <si>
    <t>ROBLEDO PIZANO LUIS ENRIQUE</t>
  </si>
  <si>
    <t>RODRIGUEZ TELLES JUAN LUIS</t>
  </si>
  <si>
    <t>RUELAS DEL RIO BERENICE</t>
  </si>
  <si>
    <t>RUIZ HARO CHRISTIAN EDUARDO</t>
  </si>
  <si>
    <t>RUIZ LOPEZ JUAN MANUEL</t>
  </si>
  <si>
    <t>RUIZ PULIDO BALTAZAR</t>
  </si>
  <si>
    <t>RUIZ PULIDO VICTOR MANUEL</t>
  </si>
  <si>
    <t>RUIZ YEPEZ JOSE LUIS</t>
  </si>
  <si>
    <t>RUIZ YEPEZ JUAN MANUEL</t>
  </si>
  <si>
    <t>RUIZ ZARAGOZA FRANCISCO ALEXANDER</t>
  </si>
  <si>
    <t>SANCHEZ GONZALEZ J.JESUS</t>
  </si>
  <si>
    <t>SANCHEZ SANCHEZ JOSE GUADALUPE</t>
  </si>
  <si>
    <t>SANCHEZ VALDOVINOS HUGO</t>
  </si>
  <si>
    <t>SANDOVAL OLIVO RICARDO</t>
  </si>
  <si>
    <t>SANDOVAL OROZCO CARLOS JACOB</t>
  </si>
  <si>
    <t>SERRANO GOMEZ PEDRO</t>
  </si>
  <si>
    <t>VALENCIA CERRANO FRANCISCO</t>
  </si>
  <si>
    <t>VALENCIA CHAVEZ JOEL</t>
  </si>
  <si>
    <t>VALENCIA ESTRADA BERNANRDINO</t>
  </si>
  <si>
    <t>VALENCIA SANCHEZ ALEJANDRO</t>
  </si>
  <si>
    <t>VALENCIA  SANCHEZ JUAN CARLOS</t>
  </si>
  <si>
    <t>VICTORIO CRUZ ANTONIO DE JESUS</t>
  </si>
  <si>
    <t>VILLANUEVA ASCENCIO JESUS</t>
  </si>
  <si>
    <t>YEPEZ VILLANUEVA JORGE</t>
  </si>
  <si>
    <t>YEPEZ VILLANUEVA MANUEL HUGO</t>
  </si>
  <si>
    <t>YEPEZ VILLANUEVA RODOLFO</t>
  </si>
  <si>
    <t>ZAMBRANO ESQUIVEL SERGIO</t>
  </si>
  <si>
    <t>ZAMBRANO HERNANDEZ SERGIO</t>
  </si>
  <si>
    <t>ZAMBRANO RODRIGUEZ SERGIO ARMANDO</t>
  </si>
  <si>
    <t>ZENTENO BARAJAS JOSE RICARDO</t>
  </si>
  <si>
    <t>CERVANTES HIGAREDA FRANCISCO</t>
  </si>
  <si>
    <t>GOMEZ VASQUEZ ROSA ISELA</t>
  </si>
  <si>
    <t>APOYO CENTRO</t>
  </si>
  <si>
    <t>LUNA GUTIERREZ RUBEN</t>
  </si>
  <si>
    <t>ORTIZ CUSTODIO MIGUEL</t>
  </si>
  <si>
    <t>VIALIDAD</t>
  </si>
  <si>
    <t>SANDOVAL CONTRERAS CLAUDIA YAZMIN</t>
  </si>
  <si>
    <t>SILVERIO RODRIGUEZ CELSO</t>
  </si>
  <si>
    <t>ALVAREZ DIEGO JUAN CARLOS</t>
  </si>
  <si>
    <t>AUXILIAR DE PROTECCION CIVIL</t>
  </si>
  <si>
    <t>ALVIZAR MANZO JOSE MA.</t>
  </si>
  <si>
    <t>CABALLERO ALVAREZ ENRIQUE</t>
  </si>
  <si>
    <t>GALVEZ CHAVEZ LUIS FERNANDO</t>
  </si>
  <si>
    <t>GONZALEZ CARABES FRANCISCO</t>
  </si>
  <si>
    <t>GONZALEZ RANGEL JESUS</t>
  </si>
  <si>
    <t>HERRERA GONZALEZ LUIS RAMIRO</t>
  </si>
  <si>
    <t>LOPEZ GOMEZ MIGUEL ANGEL</t>
  </si>
  <si>
    <t>OCHOA MANZO JOSE</t>
  </si>
  <si>
    <t>OCHOA MANZO ULISES</t>
  </si>
  <si>
    <t>PALAFOX OSEGUERA BRIAN ALEXIS</t>
  </si>
  <si>
    <t>ROCHA PLASCENCIA JULIAN</t>
  </si>
  <si>
    <t xml:space="preserve">RODRIGUEZ MANZO LUIS DANIEL </t>
  </si>
  <si>
    <t>SALVADOR MONTELONGO BLANCA</t>
  </si>
  <si>
    <t>SANDOVAL ZAMBRANO RIGOBERTO</t>
  </si>
  <si>
    <t>TOTAL SEMANAL:</t>
  </si>
  <si>
    <t>UR: Servicios Publicos</t>
  </si>
  <si>
    <t>AGUILAR SOTO RAFAEL</t>
  </si>
  <si>
    <t>ALVAREZ ALVAREZ JOSE LUIS</t>
  </si>
  <si>
    <t>HERRERO</t>
  </si>
  <si>
    <t>ALVIZAR ESPINOZA ARTURO</t>
  </si>
  <si>
    <t>ANAYA MARTINEZ JOSE</t>
  </si>
  <si>
    <t>AVILA ESPINOZA RUBEN</t>
  </si>
  <si>
    <t>BARAJAS VALENCIA GUSTAVO ADAHIR</t>
  </si>
  <si>
    <t>BARRETO MEDINA MARTIN</t>
  </si>
  <si>
    <t>BLANCAS DAMIAN MARTIN</t>
  </si>
  <si>
    <t>AYTE. ELECTRICISTA</t>
  </si>
  <si>
    <t>CAMARENA JACOBO JAVIER</t>
  </si>
  <si>
    <t>AYUDANDTE DE ASEO</t>
  </si>
  <si>
    <t xml:space="preserve">CAMPOS OBLEA RAFAEL </t>
  </si>
  <si>
    <t>JARDINERO</t>
  </si>
  <si>
    <t>CARDENAS ARTEGA TERESA</t>
  </si>
  <si>
    <t>CARMONA PANTOJA JUAN</t>
  </si>
  <si>
    <t>CEJA BARRAGAN LUIS</t>
  </si>
  <si>
    <t>CEJA CARDENAS JAIME</t>
  </si>
  <si>
    <t>JARDINEO</t>
  </si>
  <si>
    <t>CEJA CARDENAS JOSE MIGUEL</t>
  </si>
  <si>
    <t>CEJA CEJA MANUEL</t>
  </si>
  <si>
    <t>CEJA CEJA RAMON</t>
  </si>
  <si>
    <t>CEJA MATEO ALFREDO</t>
  </si>
  <si>
    <t>CEJA MATEO JUAN MANUEL</t>
  </si>
  <si>
    <t>CEJA OROZCO FLORENTINO</t>
  </si>
  <si>
    <t>DAMIAN SALAZAR JOSE MA.</t>
  </si>
  <si>
    <t>DIAZ GRANADOS JUAN</t>
  </si>
  <si>
    <t>DIAZ OSEGUERA GABRIEL</t>
  </si>
  <si>
    <t>GARCIA CORDOBA RAFAEL</t>
  </si>
  <si>
    <t>GONZALEZ VICTORIA MARIO</t>
  </si>
  <si>
    <t>GUERRERO GUTIERREZ ENRIQUE</t>
  </si>
  <si>
    <t>MORELOS SANCHEZ ARMANDO</t>
  </si>
  <si>
    <t>ORTIZ LOPEZ LEOCADIO</t>
  </si>
  <si>
    <t>ENCARGADO</t>
  </si>
  <si>
    <t>PASCUAL GONZALEZ MIGUEL</t>
  </si>
  <si>
    <t>ZAMBRANO ZAMBRANO PEDRO</t>
  </si>
  <si>
    <t>TOTAL SEMANAL</t>
  </si>
  <si>
    <t>UR: Servicios Públicos</t>
  </si>
  <si>
    <t>CERVANTES PULIDO BRENDA SUJEY</t>
  </si>
  <si>
    <t>COBRADORA CASETA UNIDAD DEP.</t>
  </si>
  <si>
    <t>GUERRERO MEDINA JORGE ENRIQUE</t>
  </si>
  <si>
    <t>HERNANDEZ MAGALLON ROSA MARIA</t>
  </si>
  <si>
    <t>HERNANDEZ NUÑEZ DIEGO</t>
  </si>
  <si>
    <t>CHOFER CAMION</t>
  </si>
  <si>
    <t>HERRERA SANDOVAL JOSE</t>
  </si>
  <si>
    <t>LOPEZ VILLA JOSE MA.</t>
  </si>
  <si>
    <t>LOPEZ VILLA RICARDO</t>
  </si>
  <si>
    <t>LUNAR TINAJERO JESUS</t>
  </si>
  <si>
    <t>MADRIGAL AVILA GRACIELA</t>
  </si>
  <si>
    <t>BARRENDERA</t>
  </si>
  <si>
    <t>MADRIGAL PRECIADO RAMON</t>
  </si>
  <si>
    <t>SOLDADOR</t>
  </si>
  <si>
    <t>MARMOLEJO AYALA FERNANDO ANTONIO</t>
  </si>
  <si>
    <t>MECANICO</t>
  </si>
  <si>
    <t>MARTINEZ TORRES JOSE</t>
  </si>
  <si>
    <t>MAESTRO ALBAÑIL</t>
  </si>
  <si>
    <t>MEDINA MONTES CESAR</t>
  </si>
  <si>
    <t>PODADOR</t>
  </si>
  <si>
    <t>MEDINA RUIZ RIGOBERTO</t>
  </si>
  <si>
    <t>MEDINA VASQUEZ LEONEL</t>
  </si>
  <si>
    <t>MEJIA ARREDONDO MARTIN</t>
  </si>
  <si>
    <t>MELCHOR HERRERA JOSE ENRIQUE</t>
  </si>
  <si>
    <t>MENDOZA GALVAN GONZALO</t>
  </si>
  <si>
    <t>NAPOLES ALVAREZ RIGOBERTO</t>
  </si>
  <si>
    <t>OCHOA ANAYA GONZALO</t>
  </si>
  <si>
    <t>OCHOA VALENCIA ARNULFO ALEJANDRO</t>
  </si>
  <si>
    <t>OROZCO VILLANUEVA ALFREDO</t>
  </si>
  <si>
    <t>PLASCENCIA SORIA MODESTO</t>
  </si>
  <si>
    <t>QUEZADA BARRAGAN MARIA GUADALUPE</t>
  </si>
  <si>
    <t>REA OCHOA ANTONIO</t>
  </si>
  <si>
    <t>SANCHEZ AGUILERA J. JESUS</t>
  </si>
  <si>
    <t>SANDOVAL CARDENAS ROBERTO</t>
  </si>
  <si>
    <t>SANDOVAL HERNANDEZ JOSE ARMANDO</t>
  </si>
  <si>
    <t>SANDOVAL LUA ROBERTO</t>
  </si>
  <si>
    <t>SANDOVAL MARTINEZ J. JESUS</t>
  </si>
  <si>
    <t>VELADOR DE RASTRO</t>
  </si>
  <si>
    <t>TORO MAGALLON BALTAZAR</t>
  </si>
  <si>
    <t>VEGA OCHOA JAIME JAVIER</t>
  </si>
  <si>
    <t>VELAZQUEZ GUERRERO ROSARIO ALBERTO</t>
  </si>
  <si>
    <t>VILLALOBOS RODRIGUEZ BALDEMAR</t>
  </si>
  <si>
    <t>VELADOR</t>
  </si>
  <si>
    <t>ZAMBRANO MATEO JOAQUIN ERNESTO</t>
  </si>
  <si>
    <t>UR: Obras Públicas</t>
  </si>
  <si>
    <t>ALCAZAR VALENCIA RIGOBERTO</t>
  </si>
  <si>
    <t>ALVARADO GARCIA JOSE MA.</t>
  </si>
  <si>
    <t>PINTOR</t>
  </si>
  <si>
    <t>CASTILLO MURILLO JORGE</t>
  </si>
  <si>
    <t>CASTILLO RUIZ FLAVIO CESAR</t>
  </si>
  <si>
    <t>AUXILIAR DE LA BLOQUERA</t>
  </si>
  <si>
    <t>DAVALOS CRUZ CRISTIAN JOHANAN</t>
  </si>
  <si>
    <t>DIAZ SOLORIO FRANCISCO</t>
  </si>
  <si>
    <t>INSPECTOR DE ASEO</t>
  </si>
  <si>
    <t>FLORES ESQUIVEL SALVADOR</t>
  </si>
  <si>
    <t>GALVAN ESTRADA RAFAEL</t>
  </si>
  <si>
    <t>GALVAN SANCHEZ RAFAEL</t>
  </si>
  <si>
    <t>GONZALEZ GONZALEZ RIGOBERTO</t>
  </si>
  <si>
    <t>LUNAR MEDINA ARTURO</t>
  </si>
  <si>
    <t>LUNAR MEDINA FRANCISCO</t>
  </si>
  <si>
    <t>MARMOLEJO FIERRO FERNANDO</t>
  </si>
  <si>
    <t>MARTINEZ HERNANDEZ FRANCISCO</t>
  </si>
  <si>
    <t>AUX. OBRAS</t>
  </si>
  <si>
    <t>MENDEZ MACIAS JULIAN</t>
  </si>
  <si>
    <t>OCHOA MENDOZA EMILIO</t>
  </si>
  <si>
    <t>PEDROZA PRADO ISMAEL</t>
  </si>
  <si>
    <t>RODRIGUEZ CASTILLO PEDRO</t>
  </si>
  <si>
    <t>RODRIGUEZ CEJA MARIO ALBERTO</t>
  </si>
  <si>
    <t>RODRIGUEZ TORRES RENE</t>
  </si>
  <si>
    <t>SIERRA MADRIGAL JESUS</t>
  </si>
  <si>
    <t>AYUDANTE</t>
  </si>
  <si>
    <t>ZACARIAS OCHOA VICTOR HUGO</t>
  </si>
  <si>
    <t>UR: Oficialia</t>
  </si>
  <si>
    <t>ARROYO VARGAS ALEJANDRA</t>
  </si>
  <si>
    <t>BAUTISTA VILLAFAN LORENA</t>
  </si>
  <si>
    <t>CASTILLO MURTILLO ANDRES ALEJANDRO</t>
  </si>
  <si>
    <t>COBARRUBIAS RICO MA. IRMA</t>
  </si>
  <si>
    <t>LOPEZ GUERRERO MA. DE JESUS</t>
  </si>
  <si>
    <t>MENDOZA TORRES RAFAEL</t>
  </si>
  <si>
    <t>MORFIN AGUILAR JESUS</t>
  </si>
  <si>
    <t>TOPETE AGUILA MONICA</t>
  </si>
  <si>
    <t>ZAMBRANO ESQUIVEL JORGE</t>
  </si>
  <si>
    <t>SUELDO BASE</t>
  </si>
  <si>
    <t>COMPENSACION</t>
  </si>
  <si>
    <t>PRIMA VAC</t>
  </si>
  <si>
    <t>PRESIDENCIA</t>
  </si>
  <si>
    <t>SINDICATURA</t>
  </si>
  <si>
    <t>OFICIALIA</t>
  </si>
  <si>
    <t>TESORERIA</t>
  </si>
  <si>
    <t>SEDESOL</t>
  </si>
  <si>
    <t>OBRAS PUB</t>
  </si>
  <si>
    <t>SERVICIOS PUB</t>
  </si>
  <si>
    <t>URBANISMO</t>
  </si>
  <si>
    <t>COMUNICACIÓN SOCIAL</t>
  </si>
  <si>
    <t>REGIDURIA</t>
  </si>
  <si>
    <t>CONTRALORIA</t>
  </si>
  <si>
    <t>DIF</t>
  </si>
  <si>
    <t>SEGURIDAD PUB</t>
  </si>
  <si>
    <t>Totales</t>
  </si>
  <si>
    <t>Nómina Municipal</t>
  </si>
  <si>
    <t>Nómina Seguridad</t>
  </si>
  <si>
    <t>Eventuales</t>
  </si>
  <si>
    <t>Nómina mpal y eventuales</t>
  </si>
  <si>
    <t>Presupuesto para capitulos</t>
  </si>
  <si>
    <t>Para materiales, serv. Generales, subsidios</t>
  </si>
  <si>
    <t>EJERCICIO PRESUPUESTAL: 2021</t>
  </si>
  <si>
    <t>MENDOZA LÓPEZ JESÚS ALEJANDRO</t>
  </si>
  <si>
    <t xml:space="preserve">LOPEZ MORENO GRACIELA </t>
  </si>
  <si>
    <t>GARCIA ARGUELLO VALERIA MONSSERRAT</t>
  </si>
  <si>
    <t>HERNANDEZ CARMONA DANIEL</t>
  </si>
  <si>
    <t>MARTINEZ FERNANDEZ MARGARITA LIZBETH</t>
  </si>
  <si>
    <t>MORENO SANABRIA HUGO ALBERTO</t>
  </si>
  <si>
    <t>DELGATO TORRES SALVADOR</t>
  </si>
  <si>
    <t>ENC. DE LA BLOQUERA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</si>
</sst>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Monotype Corsiva"/>
      <family val="4"/>
    </font>
    <font>
      <sz val="10.5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Batang"/>
      <family val="1"/>
    </font>
    <font>
      <sz val="10"/>
      <name val="Batang"/>
      <family val="1"/>
    </font>
    <font>
      <sz val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/>
  </cellStyleXfs>
  <cellXfs count="516">
    <xf numFmtId="0" fontId="0" fillId="0" borderId="0" xfId="0"/>
    <xf numFmtId="0" fontId="1" fillId="0" borderId="0" xfId="2"/>
    <xf numFmtId="0" fontId="1" fillId="2" borderId="0" xfId="2" applyFill="1"/>
    <xf numFmtId="0" fontId="1" fillId="2" borderId="0" xfId="2" applyFill="1" applyAlignment="1">
      <alignment horizontal="center"/>
    </xf>
    <xf numFmtId="164" fontId="1" fillId="2" borderId="0" xfId="2" applyNumberFormat="1" applyFill="1" applyAlignment="1">
      <alignment horizontal="center"/>
    </xf>
    <xf numFmtId="164" fontId="1" fillId="0" borderId="0" xfId="1" applyNumberFormat="1"/>
    <xf numFmtId="0" fontId="1" fillId="0" borderId="0" xfId="2" applyAlignment="1">
      <alignment horizontal="center"/>
    </xf>
    <xf numFmtId="2" fontId="1" fillId="0" borderId="0" xfId="1" applyNumberFormat="1"/>
    <xf numFmtId="2" fontId="1" fillId="0" borderId="0" xfId="2" applyNumberFormat="1" applyAlignment="1">
      <alignment horizontal="center"/>
    </xf>
    <xf numFmtId="0" fontId="2" fillId="2" borderId="0" xfId="2" applyFont="1" applyFill="1" applyAlignment="1">
      <alignment horizontal="centerContinuous"/>
    </xf>
    <xf numFmtId="0" fontId="1" fillId="2" borderId="0" xfId="2" applyFill="1" applyAlignment="1">
      <alignment horizontal="centerContinuous"/>
    </xf>
    <xf numFmtId="0" fontId="3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3" borderId="0" xfId="2" applyFont="1" applyFill="1" applyAlignment="1">
      <alignment horizontal="left"/>
    </xf>
    <xf numFmtId="164" fontId="5" fillId="3" borderId="0" xfId="2" applyNumberFormat="1" applyFont="1" applyFill="1" applyAlignment="1">
      <alignment horizontal="center"/>
    </xf>
    <xf numFmtId="0" fontId="5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164" fontId="1" fillId="0" borderId="0" xfId="2" applyNumberFormat="1" applyAlignment="1">
      <alignment horizontal="center"/>
    </xf>
    <xf numFmtId="49" fontId="10" fillId="5" borderId="2" xfId="2" applyNumberFormat="1" applyFont="1" applyFill="1" applyBorder="1" applyAlignment="1">
      <alignment horizontal="left" vertical="center" wrapText="1"/>
    </xf>
    <xf numFmtId="49" fontId="10" fillId="6" borderId="3" xfId="2" applyNumberFormat="1" applyFont="1" applyFill="1" applyBorder="1" applyAlignment="1">
      <alignment horizontal="left" vertical="center" wrapText="1"/>
    </xf>
    <xf numFmtId="49" fontId="10" fillId="6" borderId="3" xfId="2" applyNumberFormat="1" applyFont="1" applyFill="1" applyBorder="1" applyAlignment="1">
      <alignment horizontal="center" vertical="center" wrapText="1"/>
    </xf>
    <xf numFmtId="14" fontId="10" fillId="6" borderId="3" xfId="2" applyNumberFormat="1" applyFont="1" applyFill="1" applyBorder="1" applyAlignment="1">
      <alignment horizontal="center" vertical="center" wrapText="1"/>
    </xf>
    <xf numFmtId="164" fontId="1" fillId="6" borderId="3" xfId="1" applyNumberFormat="1" applyFill="1" applyBorder="1" applyAlignment="1">
      <alignment horizontal="center" vertical="center" wrapText="1"/>
    </xf>
    <xf numFmtId="164" fontId="1" fillId="6" borderId="15" xfId="1" applyNumberFormat="1" applyFill="1" applyBorder="1" applyAlignment="1">
      <alignment horizontal="center" vertical="center" wrapText="1"/>
    </xf>
    <xf numFmtId="2" fontId="1" fillId="0" borderId="0" xfId="2" applyNumberFormat="1" applyAlignment="1">
      <alignment horizontal="right" vertical="center" wrapText="1"/>
    </xf>
    <xf numFmtId="164" fontId="1" fillId="6" borderId="8" xfId="1" applyNumberFormat="1" applyFill="1" applyBorder="1" applyAlignment="1">
      <alignment horizontal="left" vertical="center" wrapText="1"/>
    </xf>
    <xf numFmtId="164" fontId="11" fillId="0" borderId="8" xfId="1" applyNumberFormat="1" applyFont="1" applyBorder="1" applyAlignment="1">
      <alignment horizontal="left"/>
    </xf>
    <xf numFmtId="0" fontId="1" fillId="0" borderId="8" xfId="2" applyBorder="1" applyAlignment="1">
      <alignment horizontal="center"/>
    </xf>
    <xf numFmtId="14" fontId="10" fillId="0" borderId="8" xfId="2" applyNumberFormat="1" applyFont="1" applyBorder="1" applyAlignment="1">
      <alignment horizontal="center" vertical="center" wrapText="1"/>
    </xf>
    <xf numFmtId="2" fontId="1" fillId="0" borderId="8" xfId="1" applyNumberFormat="1" applyBorder="1"/>
    <xf numFmtId="164" fontId="1" fillId="0" borderId="8" xfId="1" applyNumberFormat="1" applyBorder="1" applyAlignment="1">
      <alignment vertical="center" wrapText="1"/>
    </xf>
    <xf numFmtId="164" fontId="1" fillId="0" borderId="8" xfId="1" applyNumberFormat="1" applyBorder="1"/>
    <xf numFmtId="165" fontId="1" fillId="0" borderId="8" xfId="2" applyNumberFormat="1" applyBorder="1" applyAlignment="1">
      <alignment horizontal="center"/>
    </xf>
    <xf numFmtId="14" fontId="1" fillId="0" borderId="8" xfId="2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1" fillId="0" borderId="8" xfId="2" applyNumberFormat="1" applyBorder="1" applyAlignment="1">
      <alignment horizontal="center"/>
    </xf>
    <xf numFmtId="0" fontId="10" fillId="5" borderId="16" xfId="2" applyFont="1" applyFill="1" applyBorder="1" applyAlignment="1">
      <alignment horizontal="left"/>
    </xf>
    <xf numFmtId="0" fontId="10" fillId="6" borderId="8" xfId="2" applyFont="1" applyFill="1" applyBorder="1" applyAlignment="1">
      <alignment horizontal="left"/>
    </xf>
    <xf numFmtId="49" fontId="10" fillId="6" borderId="8" xfId="2" applyNumberFormat="1" applyFont="1" applyFill="1" applyBorder="1" applyAlignment="1">
      <alignment horizontal="center" vertical="center" wrapText="1"/>
    </xf>
    <xf numFmtId="14" fontId="10" fillId="6" borderId="8" xfId="2" applyNumberFormat="1" applyFont="1" applyFill="1" applyBorder="1" applyAlignment="1">
      <alignment horizontal="center"/>
    </xf>
    <xf numFmtId="164" fontId="1" fillId="6" borderId="8" xfId="1" applyNumberFormat="1" applyFill="1" applyBorder="1" applyAlignment="1">
      <alignment horizontal="center" vertical="center" wrapText="1"/>
    </xf>
    <xf numFmtId="164" fontId="1" fillId="6" borderId="8" xfId="1" applyNumberFormat="1" applyFill="1" applyBorder="1" applyAlignment="1">
      <alignment horizontal="center"/>
    </xf>
    <xf numFmtId="164" fontId="1" fillId="6" borderId="17" xfId="1" applyNumberFormat="1" applyFill="1" applyBorder="1" applyAlignment="1">
      <alignment horizontal="center" vertical="center" wrapText="1"/>
    </xf>
    <xf numFmtId="2" fontId="1" fillId="0" borderId="0" xfId="2" applyNumberFormat="1" applyAlignment="1">
      <alignment horizontal="right"/>
    </xf>
    <xf numFmtId="14" fontId="10" fillId="0" borderId="8" xfId="2" applyNumberFormat="1" applyFont="1" applyBorder="1" applyAlignment="1">
      <alignment horizontal="center"/>
    </xf>
    <xf numFmtId="0" fontId="0" fillId="0" borderId="0" xfId="2" applyFont="1"/>
    <xf numFmtId="0" fontId="10" fillId="5" borderId="9" xfId="2" applyFont="1" applyFill="1" applyBorder="1" applyAlignment="1">
      <alignment horizontal="left"/>
    </xf>
    <xf numFmtId="0" fontId="10" fillId="6" borderId="10" xfId="2" applyFont="1" applyFill="1" applyBorder="1"/>
    <xf numFmtId="49" fontId="10" fillId="6" borderId="10" xfId="2" applyNumberFormat="1" applyFont="1" applyFill="1" applyBorder="1" applyAlignment="1">
      <alignment horizontal="center" vertical="center" wrapText="1"/>
    </xf>
    <xf numFmtId="14" fontId="10" fillId="6" borderId="10" xfId="2" applyNumberFormat="1" applyFont="1" applyFill="1" applyBorder="1" applyAlignment="1">
      <alignment horizontal="center" vertical="center" wrapText="1"/>
    </xf>
    <xf numFmtId="164" fontId="1" fillId="6" borderId="10" xfId="1" applyNumberFormat="1" applyFill="1" applyBorder="1" applyAlignment="1">
      <alignment horizontal="center" vertical="center" wrapText="1"/>
    </xf>
    <xf numFmtId="164" fontId="1" fillId="6" borderId="18" xfId="1" applyNumberFormat="1" applyFill="1" applyBorder="1" applyAlignment="1">
      <alignment horizontal="center" vertical="center" wrapText="1"/>
    </xf>
    <xf numFmtId="2" fontId="1" fillId="0" borderId="8" xfId="1" applyNumberFormat="1" applyBorder="1" applyAlignment="1">
      <alignment horizontal="left"/>
    </xf>
    <xf numFmtId="164" fontId="1" fillId="0" borderId="8" xfId="1" applyNumberFormat="1" applyBorder="1" applyAlignment="1">
      <alignment horizontal="left" vertical="center" wrapText="1"/>
    </xf>
    <xf numFmtId="164" fontId="1" fillId="0" borderId="8" xfId="1" applyNumberFormat="1" applyBorder="1" applyAlignment="1">
      <alignment horizontal="left"/>
    </xf>
    <xf numFmtId="0" fontId="1" fillId="0" borderId="1" xfId="2" applyBorder="1"/>
    <xf numFmtId="164" fontId="1" fillId="0" borderId="1" xfId="1" applyNumberFormat="1" applyBorder="1" applyAlignment="1">
      <alignment horizontal="center"/>
    </xf>
    <xf numFmtId="164" fontId="11" fillId="0" borderId="0" xfId="1" applyNumberFormat="1" applyFont="1"/>
    <xf numFmtId="164" fontId="1" fillId="0" borderId="0" xfId="1" applyNumberFormat="1" applyAlignment="1">
      <alignment vertical="center" wrapText="1"/>
    </xf>
    <xf numFmtId="165" fontId="1" fillId="0" borderId="0" xfId="2" applyNumberFormat="1" applyAlignment="1">
      <alignment horizontal="center"/>
    </xf>
    <xf numFmtId="14" fontId="1" fillId="0" borderId="0" xfId="2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0" xfId="2" applyFont="1"/>
    <xf numFmtId="0" fontId="1" fillId="0" borderId="19" xfId="2" applyBorder="1"/>
    <xf numFmtId="0" fontId="12" fillId="7" borderId="20" xfId="2" applyFont="1" applyFill="1" applyBorder="1" applyAlignment="1">
      <alignment horizontal="right" vertical="center" wrapText="1"/>
    </xf>
    <xf numFmtId="164" fontId="11" fillId="8" borderId="2" xfId="1" applyNumberFormat="1" applyFont="1" applyFill="1" applyBorder="1" applyAlignment="1">
      <alignment horizontal="center"/>
    </xf>
    <xf numFmtId="3" fontId="11" fillId="0" borderId="0" xfId="2" applyNumberFormat="1" applyFont="1" applyAlignment="1">
      <alignment horizontal="center"/>
    </xf>
    <xf numFmtId="0" fontId="12" fillId="7" borderId="21" xfId="2" applyFont="1" applyFill="1" applyBorder="1" applyAlignment="1">
      <alignment horizontal="right" vertical="center" wrapText="1"/>
    </xf>
    <xf numFmtId="164" fontId="11" fillId="8" borderId="9" xfId="1" applyNumberFormat="1" applyFont="1" applyFill="1" applyBorder="1" applyAlignment="1">
      <alignment horizontal="center"/>
    </xf>
    <xf numFmtId="164" fontId="11" fillId="8" borderId="13" xfId="1" applyNumberFormat="1" applyFont="1" applyFill="1" applyBorder="1" applyAlignment="1">
      <alignment horizontal="center"/>
    </xf>
    <xf numFmtId="164" fontId="1" fillId="0" borderId="8" xfId="1" applyNumberFormat="1" applyBorder="1" applyAlignment="1">
      <alignment vertical="center"/>
    </xf>
    <xf numFmtId="164" fontId="11" fillId="0" borderId="8" xfId="1" applyNumberFormat="1" applyFont="1" applyBorder="1" applyAlignment="1">
      <alignment vertical="center"/>
    </xf>
    <xf numFmtId="3" fontId="1" fillId="0" borderId="8" xfId="2" applyNumberForma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2" fontId="1" fillId="0" borderId="8" xfId="1" applyNumberFormat="1" applyBorder="1" applyAlignment="1">
      <alignment vertical="center"/>
    </xf>
    <xf numFmtId="165" fontId="1" fillId="0" borderId="8" xfId="2" applyNumberFormat="1" applyBorder="1" applyAlignment="1">
      <alignment horizontal="center" vertical="center"/>
    </xf>
    <xf numFmtId="14" fontId="1" fillId="0" borderId="8" xfId="2" applyNumberFormat="1" applyBorder="1" applyAlignment="1">
      <alignment horizontal="center" vertical="center"/>
    </xf>
    <xf numFmtId="164" fontId="1" fillId="0" borderId="0" xfId="1" applyNumberFormat="1" applyAlignment="1">
      <alignment horizontal="right" vertical="center" wrapText="1"/>
    </xf>
    <xf numFmtId="164" fontId="1" fillId="6" borderId="3" xfId="1" applyNumberFormat="1" applyFill="1" applyBorder="1" applyAlignment="1">
      <alignment horizontal="center"/>
    </xf>
    <xf numFmtId="164" fontId="1" fillId="6" borderId="8" xfId="1" applyNumberFormat="1" applyFill="1" applyBorder="1" applyAlignment="1">
      <alignment vertical="center" wrapText="1"/>
    </xf>
    <xf numFmtId="164" fontId="11" fillId="0" borderId="8" xfId="1" applyNumberFormat="1" applyFont="1" applyBorder="1"/>
    <xf numFmtId="49" fontId="10" fillId="5" borderId="22" xfId="2" applyNumberFormat="1" applyFont="1" applyFill="1" applyBorder="1" applyAlignment="1">
      <alignment horizontal="left" vertical="center" wrapText="1"/>
    </xf>
    <xf numFmtId="49" fontId="10" fillId="6" borderId="23" xfId="2" applyNumberFormat="1" applyFont="1" applyFill="1" applyBorder="1" applyAlignment="1">
      <alignment horizontal="left" vertical="center" wrapText="1"/>
    </xf>
    <xf numFmtId="49" fontId="10" fillId="6" borderId="23" xfId="2" applyNumberFormat="1" applyFont="1" applyFill="1" applyBorder="1" applyAlignment="1">
      <alignment horizontal="center" vertical="center" wrapText="1"/>
    </xf>
    <xf numFmtId="14" fontId="10" fillId="6" borderId="23" xfId="2" applyNumberFormat="1" applyFont="1" applyFill="1" applyBorder="1" applyAlignment="1">
      <alignment horizontal="center" vertical="center" wrapText="1"/>
    </xf>
    <xf numFmtId="49" fontId="10" fillId="5" borderId="24" xfId="2" applyNumberFormat="1" applyFont="1" applyFill="1" applyBorder="1" applyAlignment="1">
      <alignment horizontal="left" vertical="center" wrapText="1"/>
    </xf>
    <xf numFmtId="49" fontId="10" fillId="6" borderId="11" xfId="2" applyNumberFormat="1" applyFont="1" applyFill="1" applyBorder="1" applyAlignment="1">
      <alignment horizontal="left" vertical="center" wrapText="1"/>
    </xf>
    <xf numFmtId="49" fontId="10" fillId="6" borderId="11" xfId="2" applyNumberFormat="1" applyFont="1" applyFill="1" applyBorder="1" applyAlignment="1">
      <alignment horizontal="center" vertical="center" wrapText="1"/>
    </xf>
    <xf numFmtId="14" fontId="10" fillId="6" borderId="11" xfId="2" applyNumberFormat="1" applyFont="1" applyFill="1" applyBorder="1" applyAlignment="1">
      <alignment horizontal="center" vertical="center" wrapText="1"/>
    </xf>
    <xf numFmtId="164" fontId="1" fillId="6" borderId="10" xfId="1" applyNumberFormat="1" applyFill="1" applyBorder="1" applyAlignment="1">
      <alignment horizontal="center"/>
    </xf>
    <xf numFmtId="0" fontId="1" fillId="0" borderId="25" xfId="2" applyBorder="1"/>
    <xf numFmtId="0" fontId="1" fillId="0" borderId="25" xfId="2" applyBorder="1" applyAlignment="1">
      <alignment horizontal="center"/>
    </xf>
    <xf numFmtId="0" fontId="1" fillId="0" borderId="26" xfId="2" applyBorder="1"/>
    <xf numFmtId="0" fontId="1" fillId="0" borderId="26" xfId="2" applyBorder="1" applyAlignment="1">
      <alignment horizontal="center"/>
    </xf>
    <xf numFmtId="164" fontId="1" fillId="0" borderId="26" xfId="2" applyNumberFormat="1" applyBorder="1" applyAlignment="1">
      <alignment horizontal="center"/>
    </xf>
    <xf numFmtId="44" fontId="1" fillId="0" borderId="8" xfId="1" applyBorder="1" applyAlignment="1">
      <alignment vertical="center" wrapText="1"/>
    </xf>
    <xf numFmtId="164" fontId="1" fillId="0" borderId="8" xfId="1" applyNumberFormat="1" applyBorder="1" applyAlignment="1">
      <alignment horizontal="right" vertical="center" wrapText="1"/>
    </xf>
    <xf numFmtId="49" fontId="10" fillId="5" borderId="16" xfId="2" applyNumberFormat="1" applyFont="1" applyFill="1" applyBorder="1" applyAlignment="1">
      <alignment horizontal="left" vertical="center" wrapText="1"/>
    </xf>
    <xf numFmtId="49" fontId="10" fillId="6" borderId="8" xfId="2" applyNumberFormat="1" applyFont="1" applyFill="1" applyBorder="1" applyAlignment="1">
      <alignment horizontal="left" vertical="center" wrapText="1"/>
    </xf>
    <xf numFmtId="14" fontId="10" fillId="6" borderId="8" xfId="2" applyNumberFormat="1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/>
    </xf>
    <xf numFmtId="49" fontId="10" fillId="5" borderId="9" xfId="2" applyNumberFormat="1" applyFont="1" applyFill="1" applyBorder="1" applyAlignment="1">
      <alignment horizontal="left" vertical="center" wrapText="1"/>
    </xf>
    <xf numFmtId="49" fontId="10" fillId="6" borderId="10" xfId="2" applyNumberFormat="1" applyFont="1" applyFill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49" fontId="10" fillId="0" borderId="0" xfId="2" applyNumberFormat="1" applyFont="1" applyAlignment="1">
      <alignment horizontal="center" vertical="center" wrapText="1"/>
    </xf>
    <xf numFmtId="14" fontId="10" fillId="0" borderId="0" xfId="2" applyNumberFormat="1" applyFont="1" applyAlignment="1">
      <alignment horizontal="center" vertical="center" wrapText="1"/>
    </xf>
    <xf numFmtId="3" fontId="1" fillId="0" borderId="27" xfId="2" applyNumberFormat="1" applyBorder="1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0" fontId="10" fillId="0" borderId="0" xfId="2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10" fillId="5" borderId="2" xfId="2" applyFont="1" applyFill="1" applyBorder="1" applyAlignment="1">
      <alignment horizontal="left"/>
    </xf>
    <xf numFmtId="14" fontId="10" fillId="6" borderId="3" xfId="2" applyNumberFormat="1" applyFont="1" applyFill="1" applyBorder="1" applyAlignment="1">
      <alignment horizontal="center"/>
    </xf>
    <xf numFmtId="164" fontId="1" fillId="6" borderId="3" xfId="1" applyNumberFormat="1" applyFill="1" applyBorder="1" applyAlignment="1">
      <alignment vertical="center" wrapText="1"/>
    </xf>
    <xf numFmtId="164" fontId="1" fillId="6" borderId="3" xfId="1" applyNumberFormat="1" applyFill="1" applyBorder="1" applyAlignment="1">
      <alignment horizontal="left" vertical="center" wrapText="1"/>
    </xf>
    <xf numFmtId="164" fontId="1" fillId="6" borderId="3" xfId="1" applyNumberFormat="1" applyFill="1" applyBorder="1" applyAlignment="1">
      <alignment horizontal="left"/>
    </xf>
    <xf numFmtId="164" fontId="1" fillId="6" borderId="15" xfId="1" applyNumberFormat="1" applyFill="1" applyBorder="1" applyAlignment="1">
      <alignment horizontal="left" vertical="center" wrapText="1"/>
    </xf>
    <xf numFmtId="164" fontId="1" fillId="6" borderId="23" xfId="1" applyNumberFormat="1" applyFill="1" applyBorder="1" applyAlignment="1">
      <alignment vertical="center" wrapText="1"/>
    </xf>
    <xf numFmtId="164" fontId="1" fillId="6" borderId="23" xfId="1" applyNumberFormat="1" applyFill="1" applyBorder="1" applyAlignment="1">
      <alignment horizontal="center" vertical="center" wrapText="1"/>
    </xf>
    <xf numFmtId="164" fontId="1" fillId="6" borderId="28" xfId="1" applyNumberFormat="1" applyFill="1" applyBorder="1" applyAlignment="1">
      <alignment horizontal="center" vertical="center" wrapText="1"/>
    </xf>
    <xf numFmtId="49" fontId="10" fillId="0" borderId="8" xfId="2" applyNumberFormat="1" applyFont="1" applyBorder="1" applyAlignment="1">
      <alignment horizontal="center" vertical="center" wrapText="1"/>
    </xf>
    <xf numFmtId="164" fontId="1" fillId="6" borderId="8" xfId="1" applyNumberFormat="1" applyFill="1" applyBorder="1" applyAlignment="1">
      <alignment horizontal="left"/>
    </xf>
    <xf numFmtId="164" fontId="1" fillId="6" borderId="17" xfId="1" applyNumberFormat="1" applyFill="1" applyBorder="1" applyAlignment="1">
      <alignment horizontal="left" vertical="center" wrapText="1"/>
    </xf>
    <xf numFmtId="3" fontId="10" fillId="0" borderId="0" xfId="2" applyNumberFormat="1" applyFont="1" applyAlignment="1">
      <alignment horizontal="left"/>
    </xf>
    <xf numFmtId="0" fontId="1" fillId="9" borderId="0" xfId="2" applyFill="1"/>
    <xf numFmtId="49" fontId="10" fillId="9" borderId="16" xfId="2" applyNumberFormat="1" applyFont="1" applyFill="1" applyBorder="1" applyAlignment="1">
      <alignment horizontal="left" vertical="center" wrapText="1"/>
    </xf>
    <xf numFmtId="49" fontId="10" fillId="9" borderId="8" xfId="2" applyNumberFormat="1" applyFont="1" applyFill="1" applyBorder="1" applyAlignment="1">
      <alignment horizontal="left" vertical="center" wrapText="1"/>
    </xf>
    <xf numFmtId="49" fontId="10" fillId="9" borderId="8" xfId="2" applyNumberFormat="1" applyFont="1" applyFill="1" applyBorder="1" applyAlignment="1">
      <alignment horizontal="center" vertical="center" wrapText="1"/>
    </xf>
    <xf numFmtId="14" fontId="10" fillId="9" borderId="8" xfId="2" applyNumberFormat="1" applyFont="1" applyFill="1" applyBorder="1" applyAlignment="1">
      <alignment horizontal="center" vertical="center" wrapText="1"/>
    </xf>
    <xf numFmtId="164" fontId="1" fillId="9" borderId="8" xfId="1" applyNumberFormat="1" applyFill="1" applyBorder="1" applyAlignment="1">
      <alignment vertical="center" wrapText="1"/>
    </xf>
    <xf numFmtId="164" fontId="1" fillId="9" borderId="8" xfId="1" applyNumberFormat="1" applyFill="1" applyBorder="1" applyAlignment="1">
      <alignment horizontal="left" vertical="center" wrapText="1"/>
    </xf>
    <xf numFmtId="164" fontId="1" fillId="9" borderId="17" xfId="1" applyNumberFormat="1" applyFill="1" applyBorder="1" applyAlignment="1">
      <alignment horizontal="left" vertical="center" wrapText="1"/>
    </xf>
    <xf numFmtId="2" fontId="1" fillId="9" borderId="0" xfId="2" applyNumberFormat="1" applyFill="1" applyAlignment="1">
      <alignment horizontal="right" vertical="center" wrapText="1"/>
    </xf>
    <xf numFmtId="164" fontId="11" fillId="9" borderId="8" xfId="1" applyNumberFormat="1" applyFont="1" applyFill="1" applyBorder="1" applyAlignment="1">
      <alignment horizontal="left"/>
    </xf>
    <xf numFmtId="0" fontId="1" fillId="9" borderId="8" xfId="2" applyFill="1" applyBorder="1" applyAlignment="1">
      <alignment horizontal="center"/>
    </xf>
    <xf numFmtId="2" fontId="1" fillId="9" borderId="8" xfId="1" applyNumberFormat="1" applyFill="1" applyBorder="1"/>
    <xf numFmtId="164" fontId="1" fillId="9" borderId="8" xfId="1" applyNumberFormat="1" applyFill="1" applyBorder="1"/>
    <xf numFmtId="165" fontId="1" fillId="9" borderId="8" xfId="2" applyNumberFormat="1" applyFill="1" applyBorder="1" applyAlignment="1">
      <alignment horizontal="center"/>
    </xf>
    <xf numFmtId="14" fontId="1" fillId="9" borderId="8" xfId="2" applyNumberFormat="1" applyFill="1" applyBorder="1" applyAlignment="1">
      <alignment horizontal="center"/>
    </xf>
    <xf numFmtId="49" fontId="1" fillId="9" borderId="8" xfId="0" applyNumberFormat="1" applyFont="1" applyFill="1" applyBorder="1" applyAlignment="1">
      <alignment horizontal="center"/>
    </xf>
    <xf numFmtId="2" fontId="1" fillId="9" borderId="8" xfId="2" applyNumberFormat="1" applyFill="1" applyBorder="1" applyAlignment="1">
      <alignment horizontal="center"/>
    </xf>
    <xf numFmtId="164" fontId="1" fillId="9" borderId="8" xfId="1" applyNumberFormat="1" applyFill="1" applyBorder="1" applyAlignment="1">
      <alignment horizontal="center" vertical="center" wrapText="1"/>
    </xf>
    <xf numFmtId="164" fontId="1" fillId="9" borderId="17" xfId="1" applyNumberFormat="1" applyFill="1" applyBorder="1" applyAlignment="1">
      <alignment horizontal="center" vertical="center" wrapText="1"/>
    </xf>
    <xf numFmtId="0" fontId="1" fillId="10" borderId="0" xfId="2" applyFill="1"/>
    <xf numFmtId="49" fontId="10" fillId="10" borderId="16" xfId="2" applyNumberFormat="1" applyFont="1" applyFill="1" applyBorder="1" applyAlignment="1">
      <alignment horizontal="left" vertical="center" wrapText="1"/>
    </xf>
    <xf numFmtId="49" fontId="10" fillId="10" borderId="23" xfId="2" applyNumberFormat="1" applyFont="1" applyFill="1" applyBorder="1" applyAlignment="1">
      <alignment horizontal="left" vertical="center" wrapText="1"/>
    </xf>
    <xf numFmtId="49" fontId="10" fillId="10" borderId="8" xfId="2" applyNumberFormat="1" applyFont="1" applyFill="1" applyBorder="1" applyAlignment="1">
      <alignment horizontal="center" vertical="center" wrapText="1"/>
    </xf>
    <xf numFmtId="164" fontId="1" fillId="10" borderId="8" xfId="1" applyNumberFormat="1" applyFill="1" applyBorder="1" applyAlignment="1">
      <alignment vertical="center" wrapText="1"/>
    </xf>
    <xf numFmtId="164" fontId="1" fillId="10" borderId="8" xfId="1" applyNumberFormat="1" applyFill="1" applyBorder="1" applyAlignment="1">
      <alignment horizontal="center" vertical="center" wrapText="1"/>
    </xf>
    <xf numFmtId="164" fontId="1" fillId="10" borderId="17" xfId="1" applyNumberFormat="1" applyFill="1" applyBorder="1" applyAlignment="1">
      <alignment horizontal="center" vertical="center" wrapText="1"/>
    </xf>
    <xf numFmtId="2" fontId="1" fillId="10" borderId="0" xfId="2" applyNumberFormat="1" applyFill="1" applyAlignment="1">
      <alignment horizontal="right" vertical="center" wrapText="1"/>
    </xf>
    <xf numFmtId="164" fontId="1" fillId="10" borderId="8" xfId="1" applyNumberFormat="1" applyFill="1" applyBorder="1" applyAlignment="1">
      <alignment horizontal="left" vertical="center" wrapText="1"/>
    </xf>
    <xf numFmtId="164" fontId="11" fillId="10" borderId="8" xfId="1" applyNumberFormat="1" applyFont="1" applyFill="1" applyBorder="1" applyAlignment="1">
      <alignment horizontal="left"/>
    </xf>
    <xf numFmtId="164" fontId="1" fillId="10" borderId="8" xfId="1" applyNumberFormat="1" applyFill="1" applyBorder="1" applyAlignment="1">
      <alignment horizontal="left"/>
    </xf>
    <xf numFmtId="165" fontId="1" fillId="10" borderId="8" xfId="2" applyNumberFormat="1" applyFill="1" applyBorder="1" applyAlignment="1">
      <alignment horizontal="center"/>
    </xf>
    <xf numFmtId="14" fontId="1" fillId="10" borderId="8" xfId="2" applyNumberFormat="1" applyFill="1" applyBorder="1" applyAlignment="1">
      <alignment horizontal="center"/>
    </xf>
    <xf numFmtId="49" fontId="1" fillId="10" borderId="8" xfId="0" applyNumberFormat="1" applyFont="1" applyFill="1" applyBorder="1" applyAlignment="1">
      <alignment horizontal="center"/>
    </xf>
    <xf numFmtId="2" fontId="1" fillId="10" borderId="8" xfId="2" applyNumberFormat="1" applyFill="1" applyBorder="1" applyAlignment="1">
      <alignment horizontal="center"/>
    </xf>
    <xf numFmtId="49" fontId="10" fillId="5" borderId="16" xfId="2" applyNumberFormat="1" applyFont="1" applyFill="1" applyBorder="1" applyAlignment="1">
      <alignment horizontal="left"/>
    </xf>
    <xf numFmtId="0" fontId="10" fillId="9" borderId="8" xfId="2" applyFont="1" applyFill="1" applyBorder="1" applyAlignment="1">
      <alignment horizontal="left"/>
    </xf>
    <xf numFmtId="14" fontId="10" fillId="9" borderId="8" xfId="2" applyNumberFormat="1" applyFont="1" applyFill="1" applyBorder="1" applyAlignment="1">
      <alignment horizontal="center"/>
    </xf>
    <xf numFmtId="164" fontId="1" fillId="9" borderId="8" xfId="1" applyNumberFormat="1" applyFill="1" applyBorder="1" applyAlignment="1">
      <alignment horizontal="center"/>
    </xf>
    <xf numFmtId="164" fontId="11" fillId="9" borderId="8" xfId="1" applyNumberFormat="1" applyFont="1" applyFill="1" applyBorder="1"/>
    <xf numFmtId="164" fontId="1" fillId="6" borderId="10" xfId="1" applyNumberFormat="1" applyFill="1" applyBorder="1" applyAlignment="1">
      <alignment vertical="center" wrapText="1"/>
    </xf>
    <xf numFmtId="0" fontId="12" fillId="7" borderId="29" xfId="2" applyFont="1" applyFill="1" applyBorder="1" applyAlignment="1">
      <alignment horizontal="right" vertical="center" wrapText="1"/>
    </xf>
    <xf numFmtId="164" fontId="11" fillId="10" borderId="30" xfId="1" applyNumberFormat="1" applyFont="1" applyFill="1" applyBorder="1" applyAlignment="1">
      <alignment horizontal="center"/>
    </xf>
    <xf numFmtId="44" fontId="1" fillId="0" borderId="0" xfId="1"/>
    <xf numFmtId="0" fontId="12" fillId="7" borderId="31" xfId="2" applyFont="1" applyFill="1" applyBorder="1" applyAlignment="1">
      <alignment horizontal="right" vertical="center" wrapText="1"/>
    </xf>
    <xf numFmtId="164" fontId="11" fillId="10" borderId="24" xfId="1" applyNumberFormat="1" applyFont="1" applyFill="1" applyBorder="1" applyAlignment="1">
      <alignment horizontal="center"/>
    </xf>
    <xf numFmtId="164" fontId="11" fillId="10" borderId="32" xfId="1" applyNumberFormat="1" applyFont="1" applyFill="1" applyBorder="1" applyAlignment="1">
      <alignment horizontal="center"/>
    </xf>
    <xf numFmtId="0" fontId="1" fillId="0" borderId="8" xfId="2" applyBorder="1" applyAlignment="1">
      <alignment vertical="center"/>
    </xf>
    <xf numFmtId="44" fontId="1" fillId="0" borderId="8" xfId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2" fontId="1" fillId="0" borderId="8" xfId="2" applyNumberFormat="1" applyBorder="1" applyAlignment="1">
      <alignment horizontal="center" vertical="center"/>
    </xf>
    <xf numFmtId="164" fontId="1" fillId="0" borderId="25" xfId="2" applyNumberFormat="1" applyBorder="1" applyAlignment="1">
      <alignment horizontal="center"/>
    </xf>
    <xf numFmtId="164" fontId="1" fillId="9" borderId="8" xfId="1" applyNumberFormat="1" applyFill="1" applyBorder="1" applyAlignment="1">
      <alignment horizontal="right" vertical="center" wrapText="1"/>
    </xf>
    <xf numFmtId="2" fontId="1" fillId="9" borderId="8" xfId="2" applyNumberFormat="1" applyFill="1" applyBorder="1" applyAlignment="1">
      <alignment horizontal="center" vertical="center"/>
    </xf>
    <xf numFmtId="0" fontId="10" fillId="6" borderId="10" xfId="2" applyFont="1" applyFill="1" applyBorder="1" applyAlignment="1">
      <alignment horizontal="left"/>
    </xf>
    <xf numFmtId="14" fontId="10" fillId="6" borderId="10" xfId="2" applyNumberFormat="1" applyFont="1" applyFill="1" applyBorder="1" applyAlignment="1">
      <alignment horizontal="center"/>
    </xf>
    <xf numFmtId="2" fontId="10" fillId="0" borderId="0" xfId="1" applyNumberFormat="1" applyFont="1"/>
    <xf numFmtId="164" fontId="1" fillId="0" borderId="8" xfId="1" applyNumberFormat="1" applyBorder="1" applyAlignment="1">
      <alignment horizontal="center" vertical="center" wrapText="1"/>
    </xf>
    <xf numFmtId="164" fontId="1" fillId="0" borderId="8" xfId="1" applyNumberFormat="1" applyBorder="1" applyAlignment="1">
      <alignment horizontal="center"/>
    </xf>
    <xf numFmtId="1" fontId="1" fillId="0" borderId="8" xfId="2" applyNumberFormat="1" applyBorder="1" applyAlignment="1">
      <alignment horizontal="center"/>
    </xf>
    <xf numFmtId="164" fontId="1" fillId="6" borderId="23" xfId="1" applyNumberFormat="1" applyFill="1" applyBorder="1" applyAlignment="1">
      <alignment horizontal="left"/>
    </xf>
    <xf numFmtId="164" fontId="1" fillId="6" borderId="23" xfId="1" applyNumberFormat="1" applyFill="1" applyBorder="1" applyAlignment="1">
      <alignment horizontal="left" vertical="center" wrapText="1"/>
    </xf>
    <xf numFmtId="164" fontId="1" fillId="6" borderId="28" xfId="1" applyNumberFormat="1" applyFill="1" applyBorder="1" applyAlignment="1">
      <alignment horizontal="left" vertical="center" wrapText="1"/>
    </xf>
    <xf numFmtId="164" fontId="1" fillId="0" borderId="0" xfId="1" applyNumberFormat="1" applyAlignment="1">
      <alignment horizontal="right"/>
    </xf>
    <xf numFmtId="2" fontId="1" fillId="0" borderId="0" xfId="1" applyNumberFormat="1" applyAlignment="1">
      <alignment vertical="center" wrapText="1"/>
    </xf>
    <xf numFmtId="164" fontId="1" fillId="0" borderId="33" xfId="1" applyNumberFormat="1" applyBorder="1" applyAlignment="1">
      <alignment horizontal="right" vertical="center" wrapText="1"/>
    </xf>
    <xf numFmtId="165" fontId="1" fillId="0" borderId="0" xfId="2" applyNumberFormat="1"/>
    <xf numFmtId="0" fontId="12" fillId="7" borderId="34" xfId="2" applyFont="1" applyFill="1" applyBorder="1" applyAlignment="1">
      <alignment horizontal="right" vertical="center" wrapText="1"/>
    </xf>
    <xf numFmtId="164" fontId="11" fillId="8" borderId="6" xfId="1" applyNumberFormat="1" applyFont="1" applyFill="1" applyBorder="1" applyAlignment="1">
      <alignment horizontal="center"/>
    </xf>
    <xf numFmtId="0" fontId="1" fillId="0" borderId="1" xfId="2" applyBorder="1" applyAlignment="1">
      <alignment horizontal="center"/>
    </xf>
    <xf numFmtId="164" fontId="1" fillId="0" borderId="1" xfId="2" applyNumberFormat="1" applyBorder="1" applyAlignment="1">
      <alignment horizontal="center"/>
    </xf>
    <xf numFmtId="164" fontId="11" fillId="11" borderId="2" xfId="1" applyNumberFormat="1" applyFont="1" applyFill="1" applyBorder="1" applyAlignment="1">
      <alignment horizontal="center"/>
    </xf>
    <xf numFmtId="164" fontId="11" fillId="11" borderId="9" xfId="1" applyNumberFormat="1" applyFont="1" applyFill="1" applyBorder="1" applyAlignment="1">
      <alignment horizontal="center"/>
    </xf>
    <xf numFmtId="164" fontId="1" fillId="0" borderId="8" xfId="1" applyNumberForma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44" fontId="1" fillId="0" borderId="8" xfId="1" applyBorder="1" applyAlignment="1">
      <alignment horizontal="center" vertical="center"/>
    </xf>
    <xf numFmtId="14" fontId="10" fillId="0" borderId="0" xfId="2" applyNumberFormat="1" applyFont="1" applyAlignment="1">
      <alignment horizontal="center"/>
    </xf>
    <xf numFmtId="0" fontId="10" fillId="6" borderId="3" xfId="2" applyFont="1" applyFill="1" applyBorder="1" applyAlignment="1">
      <alignment horizontal="left" vertical="center" wrapText="1"/>
    </xf>
    <xf numFmtId="2" fontId="1" fillId="0" borderId="8" xfId="2" applyNumberFormat="1" applyBorder="1"/>
    <xf numFmtId="0" fontId="10" fillId="6" borderId="8" xfId="2" applyFont="1" applyFill="1" applyBorder="1" applyAlignment="1">
      <alignment horizontal="left" vertical="center" wrapText="1"/>
    </xf>
    <xf numFmtId="0" fontId="10" fillId="5" borderId="16" xfId="2" applyFont="1" applyFill="1" applyBorder="1"/>
    <xf numFmtId="0" fontId="10" fillId="6" borderId="8" xfId="2" applyFont="1" applyFill="1" applyBorder="1"/>
    <xf numFmtId="3" fontId="1" fillId="0" borderId="0" xfId="2" applyNumberFormat="1" applyAlignment="1">
      <alignment horizontal="right" vertical="center" wrapText="1"/>
    </xf>
    <xf numFmtId="0" fontId="10" fillId="6" borderId="8" xfId="2" applyFont="1" applyFill="1" applyBorder="1" applyAlignment="1">
      <alignment horizontal="center"/>
    </xf>
    <xf numFmtId="0" fontId="0" fillId="10" borderId="0" xfId="2" applyFont="1" applyFill="1"/>
    <xf numFmtId="0" fontId="10" fillId="10" borderId="36" xfId="2" applyFont="1" applyFill="1" applyBorder="1" applyAlignment="1">
      <alignment horizontal="left"/>
    </xf>
    <xf numFmtId="0" fontId="10" fillId="10" borderId="8" xfId="2" applyFont="1" applyFill="1" applyBorder="1" applyAlignment="1">
      <alignment horizontal="left"/>
    </xf>
    <xf numFmtId="49" fontId="10" fillId="10" borderId="23" xfId="2" applyNumberFormat="1" applyFont="1" applyFill="1" applyBorder="1" applyAlignment="1">
      <alignment horizontal="center" vertical="center" wrapText="1"/>
    </xf>
    <xf numFmtId="14" fontId="10" fillId="10" borderId="23" xfId="2" applyNumberFormat="1" applyFont="1" applyFill="1" applyBorder="1" applyAlignment="1">
      <alignment horizontal="center"/>
    </xf>
    <xf numFmtId="164" fontId="1" fillId="10" borderId="23" xfId="1" applyNumberFormat="1" applyFill="1" applyBorder="1" applyAlignment="1">
      <alignment horizontal="center"/>
    </xf>
    <xf numFmtId="164" fontId="1" fillId="10" borderId="23" xfId="1" applyNumberFormat="1" applyFill="1" applyBorder="1" applyAlignment="1">
      <alignment horizontal="center" vertical="center" wrapText="1"/>
    </xf>
    <xf numFmtId="164" fontId="1" fillId="10" borderId="28" xfId="1" applyNumberFormat="1" applyFill="1" applyBorder="1" applyAlignment="1">
      <alignment horizontal="center" vertical="center" wrapText="1"/>
    </xf>
    <xf numFmtId="2" fontId="1" fillId="10" borderId="0" xfId="2" applyNumberFormat="1" applyFill="1" applyAlignment="1">
      <alignment horizontal="right"/>
    </xf>
    <xf numFmtId="0" fontId="10" fillId="5" borderId="36" xfId="2" applyFont="1" applyFill="1" applyBorder="1" applyAlignment="1">
      <alignment horizontal="left"/>
    </xf>
    <xf numFmtId="0" fontId="10" fillId="6" borderId="23" xfId="2" applyFont="1" applyFill="1" applyBorder="1" applyAlignment="1">
      <alignment horizontal="center"/>
    </xf>
    <xf numFmtId="14" fontId="10" fillId="6" borderId="23" xfId="2" applyNumberFormat="1" applyFont="1" applyFill="1" applyBorder="1" applyAlignment="1">
      <alignment horizontal="center"/>
    </xf>
    <xf numFmtId="164" fontId="1" fillId="6" borderId="23" xfId="1" applyNumberFormat="1" applyFill="1" applyBorder="1" applyAlignment="1">
      <alignment horizontal="center"/>
    </xf>
    <xf numFmtId="0" fontId="10" fillId="0" borderId="0" xfId="2" applyFont="1" applyAlignment="1">
      <alignment horizontal="left"/>
    </xf>
    <xf numFmtId="3" fontId="1" fillId="0" borderId="0" xfId="2" applyNumberFormat="1" applyAlignment="1">
      <alignment horizontal="center" vertical="center" wrapText="1"/>
    </xf>
    <xf numFmtId="3" fontId="10" fillId="0" borderId="0" xfId="2" applyNumberFormat="1" applyFont="1" applyAlignment="1">
      <alignment horizontal="center"/>
    </xf>
    <xf numFmtId="3" fontId="1" fillId="0" borderId="0" xfId="2" applyNumberFormat="1" applyAlignment="1">
      <alignment horizontal="center"/>
    </xf>
    <xf numFmtId="164" fontId="11" fillId="12" borderId="2" xfId="1" applyNumberFormat="1" applyFont="1" applyFill="1" applyBorder="1" applyAlignment="1">
      <alignment horizontal="center"/>
    </xf>
    <xf numFmtId="0" fontId="11" fillId="7" borderId="21" xfId="2" applyFont="1" applyFill="1" applyBorder="1" applyAlignment="1">
      <alignment horizontal="right" vertical="center" wrapText="1"/>
    </xf>
    <xf numFmtId="164" fontId="11" fillId="12" borderId="9" xfId="1" applyNumberFormat="1" applyFont="1" applyFill="1" applyBorder="1" applyAlignment="1">
      <alignment horizontal="center"/>
    </xf>
    <xf numFmtId="164" fontId="11" fillId="12" borderId="13" xfId="1" applyNumberFormat="1" applyFont="1" applyFill="1" applyBorder="1" applyAlignment="1">
      <alignment horizontal="center"/>
    </xf>
    <xf numFmtId="3" fontId="11" fillId="0" borderId="0" xfId="2" applyNumberFormat="1" applyFont="1" applyAlignment="1">
      <alignment horizontal="center" vertical="center" wrapText="1"/>
    </xf>
    <xf numFmtId="44" fontId="1" fillId="0" borderId="8" xfId="1" applyBorder="1" applyAlignment="1">
      <alignment horizontal="left"/>
    </xf>
    <xf numFmtId="164" fontId="1" fillId="6" borderId="0" xfId="1" applyNumberFormat="1" applyFill="1" applyAlignment="1">
      <alignment horizontal="center"/>
    </xf>
    <xf numFmtId="0" fontId="10" fillId="6" borderId="10" xfId="2" applyFont="1" applyFill="1" applyBorder="1" applyAlignment="1">
      <alignment horizontal="center"/>
    </xf>
    <xf numFmtId="164" fontId="11" fillId="13" borderId="2" xfId="1" applyNumberFormat="1" applyFont="1" applyFill="1" applyBorder="1" applyAlignment="1">
      <alignment horizontal="center"/>
    </xf>
    <xf numFmtId="0" fontId="11" fillId="7" borderId="31" xfId="2" applyFont="1" applyFill="1" applyBorder="1" applyAlignment="1">
      <alignment horizontal="right" vertical="center" wrapText="1"/>
    </xf>
    <xf numFmtId="164" fontId="11" fillId="13" borderId="9" xfId="1" applyNumberFormat="1" applyFont="1" applyFill="1" applyBorder="1" applyAlignment="1">
      <alignment horizontal="center"/>
    </xf>
    <xf numFmtId="164" fontId="11" fillId="13" borderId="13" xfId="1" applyNumberFormat="1" applyFont="1" applyFill="1" applyBorder="1" applyAlignment="1">
      <alignment horizontal="center"/>
    </xf>
    <xf numFmtId="0" fontId="11" fillId="0" borderId="0" xfId="2" applyFont="1" applyAlignment="1">
      <alignment horizontal="right" vertical="center" wrapText="1"/>
    </xf>
    <xf numFmtId="164" fontId="11" fillId="0" borderId="0" xfId="2" applyNumberFormat="1" applyFont="1" applyAlignment="1">
      <alignment horizontal="center"/>
    </xf>
    <xf numFmtId="0" fontId="5" fillId="0" borderId="0" xfId="2" applyFont="1"/>
    <xf numFmtId="0" fontId="9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 vertical="center"/>
    </xf>
    <xf numFmtId="2" fontId="1" fillId="0" borderId="0" xfId="2" applyNumberFormat="1" applyAlignment="1">
      <alignment horizontal="center" vertical="center" wrapText="1"/>
    </xf>
    <xf numFmtId="0" fontId="10" fillId="6" borderId="3" xfId="2" applyFont="1" applyFill="1" applyBorder="1" applyAlignment="1">
      <alignment horizontal="left"/>
    </xf>
    <xf numFmtId="0" fontId="10" fillId="5" borderId="22" xfId="2" applyFont="1" applyFill="1" applyBorder="1" applyAlignment="1">
      <alignment horizontal="left"/>
    </xf>
    <xf numFmtId="0" fontId="10" fillId="6" borderId="23" xfId="2" applyFont="1" applyFill="1" applyBorder="1" applyAlignment="1">
      <alignment horizontal="left"/>
    </xf>
    <xf numFmtId="0" fontId="10" fillId="6" borderId="3" xfId="2" applyFont="1" applyFill="1" applyBorder="1"/>
    <xf numFmtId="164" fontId="11" fillId="6" borderId="3" xfId="1" applyNumberFormat="1" applyFont="1" applyFill="1" applyBorder="1" applyAlignment="1">
      <alignment horizontal="center" vertical="center" wrapText="1"/>
    </xf>
    <xf numFmtId="164" fontId="11" fillId="6" borderId="15" xfId="1" applyNumberFormat="1" applyFont="1" applyFill="1" applyBorder="1" applyAlignment="1">
      <alignment horizontal="center" vertical="center" wrapText="1"/>
    </xf>
    <xf numFmtId="44" fontId="1" fillId="0" borderId="8" xfId="1" applyBorder="1"/>
    <xf numFmtId="0" fontId="10" fillId="5" borderId="9" xfId="2" applyFont="1" applyFill="1" applyBorder="1"/>
    <xf numFmtId="0" fontId="0" fillId="14" borderId="0" xfId="2" applyFont="1" applyFill="1"/>
    <xf numFmtId="0" fontId="10" fillId="14" borderId="9" xfId="2" applyFont="1" applyFill="1" applyBorder="1"/>
    <xf numFmtId="0" fontId="10" fillId="14" borderId="10" xfId="2" applyFont="1" applyFill="1" applyBorder="1"/>
    <xf numFmtId="49" fontId="10" fillId="14" borderId="10" xfId="2" applyNumberFormat="1" applyFont="1" applyFill="1" applyBorder="1" applyAlignment="1">
      <alignment horizontal="center" vertical="center" wrapText="1"/>
    </xf>
    <xf numFmtId="14" fontId="10" fillId="14" borderId="10" xfId="2" applyNumberFormat="1" applyFont="1" applyFill="1" applyBorder="1" applyAlignment="1">
      <alignment horizontal="center" vertical="center" wrapText="1"/>
    </xf>
    <xf numFmtId="164" fontId="1" fillId="14" borderId="10" xfId="1" applyNumberFormat="1" applyFill="1" applyBorder="1" applyAlignment="1">
      <alignment horizontal="center" vertical="center" wrapText="1"/>
    </xf>
    <xf numFmtId="164" fontId="1" fillId="14" borderId="18" xfId="1" applyNumberFormat="1" applyFill="1" applyBorder="1" applyAlignment="1">
      <alignment horizontal="center" vertical="center" wrapText="1"/>
    </xf>
    <xf numFmtId="2" fontId="1" fillId="14" borderId="0" xfId="2" applyNumberFormat="1" applyFill="1" applyAlignment="1">
      <alignment horizontal="right" vertical="center" wrapText="1"/>
    </xf>
    <xf numFmtId="164" fontId="11" fillId="14" borderId="8" xfId="1" applyNumberFormat="1" applyFont="1" applyFill="1" applyBorder="1"/>
    <xf numFmtId="164" fontId="1" fillId="14" borderId="8" xfId="1" applyNumberFormat="1" applyFill="1" applyBorder="1" applyAlignment="1">
      <alignment horizontal="right" vertical="center" wrapText="1"/>
    </xf>
    <xf numFmtId="164" fontId="1" fillId="14" borderId="8" xfId="1" applyNumberFormat="1" applyFill="1" applyBorder="1"/>
    <xf numFmtId="44" fontId="1" fillId="14" borderId="8" xfId="1" applyFill="1" applyBorder="1"/>
    <xf numFmtId="165" fontId="1" fillId="14" borderId="8" xfId="2" applyNumberFormat="1" applyFill="1" applyBorder="1" applyAlignment="1">
      <alignment horizontal="center"/>
    </xf>
    <xf numFmtId="14" fontId="1" fillId="14" borderId="8" xfId="2" applyNumberFormat="1" applyFill="1" applyBorder="1" applyAlignment="1">
      <alignment horizontal="center"/>
    </xf>
    <xf numFmtId="49" fontId="1" fillId="14" borderId="8" xfId="0" applyNumberFormat="1" applyFont="1" applyFill="1" applyBorder="1" applyAlignment="1">
      <alignment horizontal="center"/>
    </xf>
    <xf numFmtId="2" fontId="1" fillId="14" borderId="8" xfId="2" applyNumberFormat="1" applyFill="1" applyBorder="1" applyAlignment="1">
      <alignment horizontal="center"/>
    </xf>
    <xf numFmtId="0" fontId="1" fillId="14" borderId="0" xfId="2" applyFill="1"/>
    <xf numFmtId="49" fontId="0" fillId="0" borderId="0" xfId="0" applyNumberFormat="1" applyAlignment="1">
      <alignment horizontal="center"/>
    </xf>
    <xf numFmtId="0" fontId="10" fillId="5" borderId="20" xfId="2" applyFont="1" applyFill="1" applyBorder="1"/>
    <xf numFmtId="14" fontId="10" fillId="0" borderId="23" xfId="2" applyNumberFormat="1" applyFont="1" applyBorder="1" applyAlignment="1">
      <alignment horizontal="center" vertical="center" wrapText="1"/>
    </xf>
    <xf numFmtId="0" fontId="10" fillId="5" borderId="36" xfId="2" applyFont="1" applyFill="1" applyBorder="1"/>
    <xf numFmtId="14" fontId="10" fillId="0" borderId="8" xfId="2" applyNumberFormat="1" applyFont="1" applyBorder="1" applyAlignment="1">
      <alignment horizontal="center" vertical="center"/>
    </xf>
    <xf numFmtId="0" fontId="0" fillId="9" borderId="0" xfId="2" applyFont="1" applyFill="1"/>
    <xf numFmtId="0" fontId="10" fillId="9" borderId="8" xfId="2" applyFont="1" applyFill="1" applyBorder="1"/>
    <xf numFmtId="0" fontId="10" fillId="5" borderId="37" xfId="2" applyFont="1" applyFill="1" applyBorder="1" applyAlignment="1">
      <alignment horizontal="left"/>
    </xf>
    <xf numFmtId="0" fontId="10" fillId="6" borderId="38" xfId="2" applyFont="1" applyFill="1" applyBorder="1"/>
    <xf numFmtId="49" fontId="10" fillId="6" borderId="38" xfId="2" applyNumberFormat="1" applyFont="1" applyFill="1" applyBorder="1" applyAlignment="1">
      <alignment horizontal="center" vertical="center" wrapText="1"/>
    </xf>
    <xf numFmtId="14" fontId="10" fillId="6" borderId="38" xfId="2" applyNumberFormat="1" applyFont="1" applyFill="1" applyBorder="1" applyAlignment="1">
      <alignment horizontal="center" vertical="center" wrapText="1"/>
    </xf>
    <xf numFmtId="164" fontId="1" fillId="6" borderId="38" xfId="1" applyNumberFormat="1" applyFill="1" applyBorder="1" applyAlignment="1">
      <alignment horizontal="center" vertical="center" wrapText="1"/>
    </xf>
    <xf numFmtId="164" fontId="1" fillId="6" borderId="39" xfId="1" applyNumberFormat="1" applyFill="1" applyBorder="1" applyAlignment="1">
      <alignment horizontal="center" vertical="center" wrapText="1"/>
    </xf>
    <xf numFmtId="0" fontId="10" fillId="0" borderId="0" xfId="2" applyFont="1"/>
    <xf numFmtId="0" fontId="10" fillId="0" borderId="19" xfId="2" applyFont="1" applyBorder="1"/>
    <xf numFmtId="3" fontId="12" fillId="0" borderId="0" xfId="2" applyNumberFormat="1" applyFont="1" applyAlignment="1">
      <alignment horizontal="center"/>
    </xf>
    <xf numFmtId="164" fontId="10" fillId="0" borderId="0" xfId="1" applyNumberFormat="1" applyFont="1" applyAlignment="1">
      <alignment horizontal="right" vertical="center" wrapText="1"/>
    </xf>
    <xf numFmtId="164" fontId="10" fillId="0" borderId="0" xfId="1" applyNumberFormat="1" applyFont="1"/>
    <xf numFmtId="165" fontId="10" fillId="0" borderId="0" xfId="2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0" borderId="0" xfId="2" applyNumberFormat="1" applyFont="1" applyAlignment="1">
      <alignment horizontal="center"/>
    </xf>
    <xf numFmtId="44" fontId="1" fillId="0" borderId="8" xfId="2" applyNumberFormat="1" applyBorder="1" applyAlignment="1">
      <alignment vertical="center"/>
    </xf>
    <xf numFmtId="4" fontId="1" fillId="0" borderId="0" xfId="2" applyNumberFormat="1" applyAlignment="1">
      <alignment vertical="center" wrapText="1"/>
    </xf>
    <xf numFmtId="164" fontId="1" fillId="14" borderId="23" xfId="1" applyNumberFormat="1" applyFill="1" applyBorder="1" applyAlignment="1">
      <alignment horizontal="center" vertical="center" wrapText="1"/>
    </xf>
    <xf numFmtId="4" fontId="1" fillId="0" borderId="0" xfId="2" applyNumberFormat="1" applyAlignment="1">
      <alignment horizontal="right" vertical="center" wrapText="1"/>
    </xf>
    <xf numFmtId="49" fontId="10" fillId="9" borderId="23" xfId="2" applyNumberFormat="1" applyFont="1" applyFill="1" applyBorder="1" applyAlignment="1">
      <alignment horizontal="left" vertical="center" wrapText="1"/>
    </xf>
    <xf numFmtId="14" fontId="10" fillId="9" borderId="23" xfId="2" applyNumberFormat="1" applyFont="1" applyFill="1" applyBorder="1" applyAlignment="1">
      <alignment horizontal="center" vertical="center" wrapText="1"/>
    </xf>
    <xf numFmtId="164" fontId="1" fillId="9" borderId="23" xfId="1" applyNumberFormat="1" applyFill="1" applyBorder="1" applyAlignment="1">
      <alignment horizontal="center" vertical="center" wrapText="1"/>
    </xf>
    <xf numFmtId="164" fontId="1" fillId="9" borderId="28" xfId="1" applyNumberFormat="1" applyFill="1" applyBorder="1" applyAlignment="1">
      <alignment horizontal="center" vertical="center" wrapText="1"/>
    </xf>
    <xf numFmtId="44" fontId="1" fillId="9" borderId="8" xfId="1" applyFill="1" applyBorder="1"/>
    <xf numFmtId="14" fontId="10" fillId="6" borderId="38" xfId="2" applyNumberFormat="1" applyFont="1" applyFill="1" applyBorder="1" applyAlignment="1">
      <alignment horizontal="center"/>
    </xf>
    <xf numFmtId="14" fontId="10" fillId="0" borderId="23" xfId="2" applyNumberFormat="1" applyFont="1" applyBorder="1" applyAlignment="1">
      <alignment horizontal="center"/>
    </xf>
    <xf numFmtId="49" fontId="10" fillId="5" borderId="8" xfId="2" applyNumberFormat="1" applyFont="1" applyFill="1" applyBorder="1" applyAlignment="1">
      <alignment horizontal="left" vertical="center" wrapText="1"/>
    </xf>
    <xf numFmtId="0" fontId="14" fillId="7" borderId="20" xfId="2" applyFont="1" applyFill="1" applyBorder="1" applyAlignment="1">
      <alignment horizontal="right" vertical="center" wrapText="1"/>
    </xf>
    <xf numFmtId="164" fontId="11" fillId="13" borderId="32" xfId="1" applyNumberFormat="1" applyFont="1" applyFill="1" applyBorder="1" applyAlignment="1">
      <alignment horizontal="center"/>
    </xf>
    <xf numFmtId="0" fontId="13" fillId="0" borderId="0" xfId="2" applyFont="1" applyAlignment="1">
      <alignment horizontal="center" vertical="center" wrapText="1"/>
    </xf>
    <xf numFmtId="164" fontId="1" fillId="6" borderId="38" xfId="1" applyNumberFormat="1" applyFill="1" applyBorder="1" applyAlignment="1">
      <alignment horizontal="center"/>
    </xf>
    <xf numFmtId="0" fontId="10" fillId="13" borderId="22" xfId="2" applyFont="1" applyFill="1" applyBorder="1" applyAlignment="1">
      <alignment horizontal="left"/>
    </xf>
    <xf numFmtId="49" fontId="10" fillId="13" borderId="23" xfId="2" applyNumberFormat="1" applyFont="1" applyFill="1" applyBorder="1" applyAlignment="1">
      <alignment horizontal="left" vertical="center" wrapText="1"/>
    </xf>
    <xf numFmtId="49" fontId="10" fillId="13" borderId="23" xfId="2" applyNumberFormat="1" applyFont="1" applyFill="1" applyBorder="1" applyAlignment="1">
      <alignment horizontal="center" vertical="center" wrapText="1"/>
    </xf>
    <xf numFmtId="14" fontId="10" fillId="13" borderId="8" xfId="2" applyNumberFormat="1" applyFont="1" applyFill="1" applyBorder="1" applyAlignment="1">
      <alignment horizontal="center"/>
    </xf>
    <xf numFmtId="164" fontId="1" fillId="13" borderId="23" xfId="1" applyNumberFormat="1" applyFill="1" applyBorder="1" applyAlignment="1">
      <alignment horizontal="center" vertical="center" wrapText="1"/>
    </xf>
    <xf numFmtId="164" fontId="1" fillId="9" borderId="38" xfId="1" applyNumberFormat="1" applyFill="1" applyBorder="1" applyAlignment="1">
      <alignment horizontal="center"/>
    </xf>
    <xf numFmtId="0" fontId="1" fillId="4" borderId="0" xfId="2" applyFill="1"/>
    <xf numFmtId="49" fontId="10" fillId="4" borderId="23" xfId="2" applyNumberFormat="1" applyFont="1" applyFill="1" applyBorder="1" applyAlignment="1">
      <alignment horizontal="left" vertical="center" wrapText="1"/>
    </xf>
    <xf numFmtId="14" fontId="10" fillId="4" borderId="8" xfId="2" applyNumberFormat="1" applyFont="1" applyFill="1" applyBorder="1" applyAlignment="1">
      <alignment horizontal="center"/>
    </xf>
    <xf numFmtId="164" fontId="1" fillId="4" borderId="23" xfId="1" applyNumberFormat="1" applyFill="1" applyBorder="1" applyAlignment="1">
      <alignment horizontal="center" vertical="center" wrapText="1"/>
    </xf>
    <xf numFmtId="164" fontId="1" fillId="4" borderId="38" xfId="1" applyNumberFormat="1" applyFill="1" applyBorder="1" applyAlignment="1">
      <alignment horizontal="center"/>
    </xf>
    <xf numFmtId="164" fontId="1" fillId="4" borderId="28" xfId="1" applyNumberFormat="1" applyFill="1" applyBorder="1" applyAlignment="1">
      <alignment horizontal="center" vertical="center" wrapText="1"/>
    </xf>
    <xf numFmtId="164" fontId="1" fillId="4" borderId="8" xfId="1" applyNumberFormat="1" applyFill="1" applyBorder="1" applyAlignment="1">
      <alignment horizontal="left" vertical="center" wrapText="1"/>
    </xf>
    <xf numFmtId="44" fontId="1" fillId="4" borderId="8" xfId="1" applyFill="1" applyBorder="1"/>
    <xf numFmtId="14" fontId="1" fillId="4" borderId="8" xfId="2" applyNumberForma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2" fontId="1" fillId="4" borderId="8" xfId="2" applyNumberFormat="1" applyFill="1" applyBorder="1" applyAlignment="1">
      <alignment horizontal="center"/>
    </xf>
    <xf numFmtId="0" fontId="10" fillId="5" borderId="22" xfId="2" applyFont="1" applyFill="1" applyBorder="1"/>
    <xf numFmtId="0" fontId="10" fillId="6" borderId="23" xfId="2" applyFont="1" applyFill="1" applyBorder="1"/>
    <xf numFmtId="164" fontId="1" fillId="0" borderId="44" xfId="1" applyNumberFormat="1" applyBorder="1" applyAlignment="1">
      <alignment horizontal="center" vertical="center" wrapText="1"/>
    </xf>
    <xf numFmtId="164" fontId="1" fillId="0" borderId="27" xfId="1" applyNumberFormat="1" applyBorder="1" applyAlignment="1">
      <alignment horizontal="center"/>
    </xf>
    <xf numFmtId="164" fontId="1" fillId="0" borderId="45" xfId="1" applyNumberFormat="1" applyBorder="1" applyAlignment="1">
      <alignment horizontal="center" vertical="center" wrapText="1"/>
    </xf>
    <xf numFmtId="2" fontId="1" fillId="0" borderId="0" xfId="2" applyNumberFormat="1"/>
    <xf numFmtId="164" fontId="1" fillId="6" borderId="4" xfId="1" applyNumberFormat="1" applyFill="1" applyBorder="1" applyAlignment="1">
      <alignment horizontal="center"/>
    </xf>
    <xf numFmtId="0" fontId="10" fillId="9" borderId="22" xfId="2" applyFont="1" applyFill="1" applyBorder="1" applyAlignment="1">
      <alignment horizontal="left"/>
    </xf>
    <xf numFmtId="49" fontId="10" fillId="9" borderId="3" xfId="2" applyNumberFormat="1" applyFont="1" applyFill="1" applyBorder="1" applyAlignment="1">
      <alignment horizontal="center" vertical="center" wrapText="1"/>
    </xf>
    <xf numFmtId="2" fontId="1" fillId="9" borderId="0" xfId="2" applyNumberFormat="1" applyFill="1" applyAlignment="1">
      <alignment horizontal="right"/>
    </xf>
    <xf numFmtId="164" fontId="1" fillId="14" borderId="38" xfId="1" applyNumberFormat="1" applyFill="1" applyBorder="1" applyAlignment="1">
      <alignment horizontal="center"/>
    </xf>
    <xf numFmtId="0" fontId="10" fillId="10" borderId="22" xfId="2" applyFont="1" applyFill="1" applyBorder="1" applyAlignment="1">
      <alignment horizontal="left"/>
    </xf>
    <xf numFmtId="49" fontId="10" fillId="10" borderId="3" xfId="2" applyNumberFormat="1" applyFont="1" applyFill="1" applyBorder="1" applyAlignment="1">
      <alignment horizontal="center" vertical="center" wrapText="1"/>
    </xf>
    <xf numFmtId="14" fontId="10" fillId="10" borderId="8" xfId="2" applyNumberFormat="1" applyFont="1" applyFill="1" applyBorder="1" applyAlignment="1">
      <alignment horizontal="center"/>
    </xf>
    <xf numFmtId="164" fontId="1" fillId="10" borderId="38" xfId="1" applyNumberFormat="1" applyFill="1" applyBorder="1" applyAlignment="1">
      <alignment horizontal="center"/>
    </xf>
    <xf numFmtId="44" fontId="1" fillId="10" borderId="8" xfId="1" applyFill="1" applyBorder="1"/>
    <xf numFmtId="0" fontId="10" fillId="5" borderId="46" xfId="2" applyFont="1" applyFill="1" applyBorder="1" applyAlignment="1">
      <alignment horizontal="left"/>
    </xf>
    <xf numFmtId="49" fontId="10" fillId="6" borderId="33" xfId="2" applyNumberFormat="1" applyFont="1" applyFill="1" applyBorder="1" applyAlignment="1">
      <alignment horizontal="left" vertical="center" wrapText="1"/>
    </xf>
    <xf numFmtId="0" fontId="10" fillId="5" borderId="24" xfId="2" applyFont="1" applyFill="1" applyBorder="1" applyAlignment="1">
      <alignment horizontal="left"/>
    </xf>
    <xf numFmtId="2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1" fillId="7" borderId="47" xfId="2" applyFont="1" applyFill="1" applyBorder="1" applyAlignment="1">
      <alignment horizontal="right" vertical="center" wrapText="1"/>
    </xf>
    <xf numFmtId="164" fontId="11" fillId="13" borderId="29" xfId="1" applyNumberFormat="1" applyFont="1" applyFill="1" applyBorder="1" applyAlignment="1">
      <alignment horizontal="center"/>
    </xf>
    <xf numFmtId="2" fontId="1" fillId="0" borderId="0" xfId="1" applyNumberFormat="1" applyAlignment="1">
      <alignment horizontal="center"/>
    </xf>
    <xf numFmtId="164" fontId="11" fillId="13" borderId="24" xfId="1" applyNumberFormat="1" applyFont="1" applyFill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164" fontId="1" fillId="14" borderId="3" xfId="1" applyNumberFormat="1" applyFill="1" applyBorder="1" applyAlignment="1">
      <alignment horizontal="center" vertical="center" wrapText="1"/>
    </xf>
    <xf numFmtId="164" fontId="1" fillId="14" borderId="11" xfId="1" applyNumberFormat="1" applyFill="1" applyBorder="1" applyAlignment="1">
      <alignment horizontal="center" vertical="center" wrapText="1"/>
    </xf>
    <xf numFmtId="164" fontId="1" fillId="6" borderId="11" xfId="1" applyNumberFormat="1" applyFill="1" applyBorder="1" applyAlignment="1">
      <alignment horizontal="center" vertical="center" wrapText="1"/>
    </xf>
    <xf numFmtId="164" fontId="1" fillId="6" borderId="48" xfId="1" applyNumberForma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right" vertical="center" wrapText="1"/>
    </xf>
    <xf numFmtId="166" fontId="11" fillId="0" borderId="0" xfId="2" applyNumberFormat="1" applyFont="1"/>
    <xf numFmtId="2" fontId="11" fillId="0" borderId="0" xfId="1" applyNumberFormat="1" applyFont="1"/>
    <xf numFmtId="166" fontId="11" fillId="0" borderId="0" xfId="2" applyNumberFormat="1" applyFont="1" applyAlignment="1">
      <alignment horizontal="center"/>
    </xf>
    <xf numFmtId="0" fontId="10" fillId="6" borderId="3" xfId="2" applyFont="1" applyFill="1" applyBorder="1" applyAlignment="1">
      <alignment horizontal="center"/>
    </xf>
    <xf numFmtId="0" fontId="10" fillId="9" borderId="8" xfId="2" applyFont="1" applyFill="1" applyBorder="1" applyAlignment="1">
      <alignment horizontal="center"/>
    </xf>
    <xf numFmtId="0" fontId="10" fillId="9" borderId="16" xfId="2" applyFont="1" applyFill="1" applyBorder="1" applyAlignment="1">
      <alignment horizontal="left"/>
    </xf>
    <xf numFmtId="0" fontId="15" fillId="0" borderId="0" xfId="2" applyFont="1"/>
    <xf numFmtId="0" fontId="15" fillId="0" borderId="0" xfId="2" applyFont="1" applyAlignment="1">
      <alignment horizontal="left"/>
    </xf>
    <xf numFmtId="49" fontId="15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center"/>
    </xf>
    <xf numFmtId="14" fontId="15" fillId="0" borderId="0" xfId="2" applyNumberFormat="1" applyFont="1" applyAlignment="1">
      <alignment horizontal="center"/>
    </xf>
    <xf numFmtId="164" fontId="15" fillId="0" borderId="0" xfId="2" applyNumberFormat="1" applyFont="1" applyAlignment="1">
      <alignment horizontal="center"/>
    </xf>
    <xf numFmtId="2" fontId="15" fillId="0" borderId="0" xfId="2" applyNumberFormat="1" applyFont="1" applyAlignment="1">
      <alignment horizontal="right"/>
    </xf>
    <xf numFmtId="164" fontId="15" fillId="0" borderId="0" xfId="1" applyNumberFormat="1" applyFont="1" applyAlignment="1">
      <alignment horizontal="right" vertical="center" wrapText="1"/>
    </xf>
    <xf numFmtId="164" fontId="16" fillId="0" borderId="0" xfId="1" applyNumberFormat="1" applyFont="1"/>
    <xf numFmtId="2" fontId="15" fillId="0" borderId="0" xfId="1" applyNumberFormat="1" applyFont="1"/>
    <xf numFmtId="164" fontId="15" fillId="0" borderId="0" xfId="1" applyNumberFormat="1" applyFont="1"/>
    <xf numFmtId="165" fontId="15" fillId="0" borderId="0" xfId="2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2" fontId="15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center"/>
    </xf>
    <xf numFmtId="164" fontId="1" fillId="6" borderId="11" xfId="1" applyNumberFormat="1" applyFill="1" applyBorder="1" applyAlignment="1">
      <alignment horizontal="left"/>
    </xf>
    <xf numFmtId="164" fontId="1" fillId="6" borderId="10" xfId="1" applyNumberFormat="1" applyFill="1" applyBorder="1" applyAlignment="1">
      <alignment horizontal="left" vertical="center" wrapText="1"/>
    </xf>
    <xf numFmtId="164" fontId="1" fillId="6" borderId="11" xfId="1" applyNumberFormat="1" applyFill="1" applyBorder="1" applyAlignment="1">
      <alignment horizontal="left" vertical="center" wrapText="1"/>
    </xf>
    <xf numFmtId="164" fontId="1" fillId="6" borderId="48" xfId="1" applyNumberFormat="1" applyFill="1" applyBorder="1" applyAlignment="1">
      <alignment horizontal="left" vertical="center" wrapText="1"/>
    </xf>
    <xf numFmtId="164" fontId="11" fillId="12" borderId="34" xfId="1" applyNumberFormat="1" applyFont="1" applyFill="1" applyBorder="1" applyAlignment="1">
      <alignment horizontal="center"/>
    </xf>
    <xf numFmtId="164" fontId="11" fillId="12" borderId="32" xfId="1" applyNumberFormat="1" applyFont="1" applyFill="1" applyBorder="1" applyAlignment="1">
      <alignment horizontal="center"/>
    </xf>
    <xf numFmtId="49" fontId="10" fillId="6" borderId="3" xfId="2" applyNumberFormat="1" applyFont="1" applyFill="1" applyBorder="1" applyAlignment="1">
      <alignment horizontal="left" vertical="center"/>
    </xf>
    <xf numFmtId="2" fontId="1" fillId="0" borderId="0" xfId="2" applyNumberFormat="1" applyAlignment="1">
      <alignment vertical="center" wrapText="1"/>
    </xf>
    <xf numFmtId="2" fontId="17" fillId="0" borderId="8" xfId="1" applyNumberFormat="1" applyFont="1" applyBorder="1"/>
    <xf numFmtId="164" fontId="11" fillId="12" borderId="21" xfId="1" applyNumberFormat="1" applyFont="1" applyFill="1" applyBorder="1" applyAlignment="1">
      <alignment horizontal="center"/>
    </xf>
    <xf numFmtId="164" fontId="1" fillId="6" borderId="4" xfId="1" applyNumberFormat="1" applyFill="1" applyBorder="1" applyAlignment="1">
      <alignment horizontal="center" vertical="center" wrapText="1"/>
    </xf>
    <xf numFmtId="3" fontId="1" fillId="0" borderId="0" xfId="2" applyNumberFormat="1"/>
    <xf numFmtId="164" fontId="11" fillId="11" borderId="34" xfId="1" applyNumberFormat="1" applyFont="1" applyFill="1" applyBorder="1" applyAlignment="1">
      <alignment horizontal="center"/>
    </xf>
    <xf numFmtId="164" fontId="11" fillId="11" borderId="24" xfId="1" applyNumberFormat="1" applyFont="1" applyFill="1" applyBorder="1" applyAlignment="1">
      <alignment horizontal="center"/>
    </xf>
    <xf numFmtId="0" fontId="10" fillId="5" borderId="2" xfId="2" applyFont="1" applyFill="1" applyBorder="1"/>
    <xf numFmtId="0" fontId="10" fillId="9" borderId="3" xfId="2" applyFont="1" applyFill="1" applyBorder="1"/>
    <xf numFmtId="0" fontId="10" fillId="9" borderId="3" xfId="2" applyFont="1" applyFill="1" applyBorder="1" applyAlignment="1">
      <alignment horizontal="center"/>
    </xf>
    <xf numFmtId="14" fontId="10" fillId="9" borderId="4" xfId="2" applyNumberFormat="1" applyFont="1" applyFill="1" applyBorder="1" applyAlignment="1">
      <alignment horizontal="center" vertical="center" wrapText="1"/>
    </xf>
    <xf numFmtId="164" fontId="1" fillId="9" borderId="4" xfId="1" applyNumberFormat="1" applyFill="1" applyBorder="1" applyAlignment="1">
      <alignment horizontal="center" vertical="center" wrapText="1"/>
    </xf>
    <xf numFmtId="164" fontId="1" fillId="9" borderId="50" xfId="1" applyNumberFormat="1" applyFill="1" applyBorder="1" applyAlignment="1">
      <alignment horizontal="center" vertical="center" wrapText="1"/>
    </xf>
    <xf numFmtId="0" fontId="10" fillId="9" borderId="23" xfId="2" applyFont="1" applyFill="1" applyBorder="1"/>
    <xf numFmtId="0" fontId="10" fillId="9" borderId="23" xfId="2" applyFont="1" applyFill="1" applyBorder="1" applyAlignment="1">
      <alignment horizontal="center"/>
    </xf>
    <xf numFmtId="14" fontId="10" fillId="9" borderId="33" xfId="2" applyNumberFormat="1" applyFont="1" applyFill="1" applyBorder="1" applyAlignment="1">
      <alignment horizontal="center" vertical="center" wrapText="1"/>
    </xf>
    <xf numFmtId="164" fontId="1" fillId="9" borderId="33" xfId="1" applyNumberFormat="1" applyFill="1" applyBorder="1" applyAlignment="1">
      <alignment horizontal="center" vertical="center" wrapText="1"/>
    </xf>
    <xf numFmtId="164" fontId="1" fillId="9" borderId="51" xfId="1" applyNumberFormat="1" applyFill="1" applyBorder="1" applyAlignment="1">
      <alignment horizontal="center" vertical="center" wrapText="1"/>
    </xf>
    <xf numFmtId="49" fontId="10" fillId="5" borderId="16" xfId="2" applyNumberFormat="1" applyFont="1" applyFill="1" applyBorder="1" applyAlignment="1">
      <alignment horizontal="left" vertical="center"/>
    </xf>
    <xf numFmtId="14" fontId="18" fillId="0" borderId="0" xfId="0" applyNumberFormat="1" applyFont="1"/>
    <xf numFmtId="164" fontId="11" fillId="10" borderId="2" xfId="1" applyNumberFormat="1" applyFont="1" applyFill="1" applyBorder="1" applyAlignment="1">
      <alignment horizontal="center"/>
    </xf>
    <xf numFmtId="164" fontId="11" fillId="10" borderId="34" xfId="1" applyNumberFormat="1" applyFont="1" applyFill="1" applyBorder="1" applyAlignment="1">
      <alignment horizontal="center"/>
    </xf>
    <xf numFmtId="164" fontId="11" fillId="10" borderId="9" xfId="1" applyNumberFormat="1" applyFont="1" applyFill="1" applyBorder="1" applyAlignment="1">
      <alignment horizontal="center"/>
    </xf>
    <xf numFmtId="3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0" fontId="1" fillId="0" borderId="52" xfId="2" applyBorder="1"/>
    <xf numFmtId="0" fontId="10" fillId="0" borderId="52" xfId="2" applyFont="1" applyBorder="1" applyAlignment="1">
      <alignment horizontal="center"/>
    </xf>
    <xf numFmtId="0" fontId="19" fillId="0" borderId="52" xfId="2" applyFont="1" applyBorder="1" applyAlignment="1">
      <alignment horizontal="center"/>
    </xf>
    <xf numFmtId="0" fontId="20" fillId="0" borderId="0" xfId="2" applyFont="1" applyAlignment="1">
      <alignment horizontal="center"/>
    </xf>
    <xf numFmtId="44" fontId="21" fillId="0" borderId="0" xfId="1" applyFont="1"/>
    <xf numFmtId="44" fontId="21" fillId="0" borderId="0" xfId="1" applyFont="1" applyAlignment="1">
      <alignment horizontal="center"/>
    </xf>
    <xf numFmtId="0" fontId="21" fillId="0" borderId="0" xfId="2" applyFont="1"/>
    <xf numFmtId="0" fontId="21" fillId="0" borderId="0" xfId="2" applyFont="1" applyAlignment="1">
      <alignment horizontal="center"/>
    </xf>
    <xf numFmtId="0" fontId="1" fillId="13" borderId="8" xfId="2" applyFill="1" applyBorder="1"/>
    <xf numFmtId="164" fontId="1" fillId="13" borderId="8" xfId="2" applyNumberFormat="1" applyFill="1" applyBorder="1" applyAlignment="1">
      <alignment horizontal="center"/>
    </xf>
    <xf numFmtId="0" fontId="1" fillId="14" borderId="8" xfId="2" applyFill="1" applyBorder="1"/>
    <xf numFmtId="164" fontId="1" fillId="14" borderId="8" xfId="2" applyNumberFormat="1" applyFill="1" applyBorder="1" applyAlignment="1">
      <alignment horizontal="center"/>
    </xf>
    <xf numFmtId="44" fontId="1" fillId="0" borderId="0" xfId="1" applyAlignment="1">
      <alignment horizontal="center"/>
    </xf>
    <xf numFmtId="44" fontId="1" fillId="0" borderId="0" xfId="2" applyNumberFormat="1" applyAlignment="1">
      <alignment horizontal="center"/>
    </xf>
    <xf numFmtId="14" fontId="10" fillId="6" borderId="5" xfId="2" applyNumberFormat="1" applyFont="1" applyFill="1" applyBorder="1" applyAlignment="1">
      <alignment horizontal="center" vertical="center" wrapText="1"/>
    </xf>
    <xf numFmtId="14" fontId="10" fillId="6" borderId="53" xfId="2" applyNumberFormat="1" applyFont="1" applyFill="1" applyBorder="1" applyAlignment="1">
      <alignment horizontal="center" vertical="center" wrapText="1"/>
    </xf>
    <xf numFmtId="14" fontId="10" fillId="6" borderId="12" xfId="2" applyNumberFormat="1" applyFont="1" applyFill="1" applyBorder="1" applyAlignment="1">
      <alignment horizontal="center" vertical="center" wrapText="1"/>
    </xf>
    <xf numFmtId="164" fontId="1" fillId="6" borderId="7" xfId="1" applyNumberFormat="1" applyFill="1" applyBorder="1" applyAlignment="1">
      <alignment horizontal="center" vertical="center" wrapText="1"/>
    </xf>
    <xf numFmtId="164" fontId="1" fillId="6" borderId="54" xfId="1" applyNumberFormat="1" applyFill="1" applyBorder="1" applyAlignment="1">
      <alignment horizontal="center" vertical="center" wrapText="1"/>
    </xf>
    <xf numFmtId="164" fontId="1" fillId="6" borderId="14" xfId="1" applyNumberFormat="1" applyFill="1" applyBorder="1" applyAlignment="1">
      <alignment horizontal="center" vertical="center" wrapText="1"/>
    </xf>
    <xf numFmtId="164" fontId="11" fillId="6" borderId="6" xfId="1" applyNumberFormat="1" applyFont="1" applyFill="1" applyBorder="1"/>
    <xf numFmtId="164" fontId="11" fillId="6" borderId="55" xfId="1" applyNumberFormat="1" applyFont="1" applyFill="1" applyBorder="1"/>
    <xf numFmtId="164" fontId="11" fillId="6" borderId="13" xfId="1" applyNumberFormat="1" applyFont="1" applyFill="1" applyBorder="1"/>
    <xf numFmtId="0" fontId="1" fillId="10" borderId="8" xfId="2" applyFill="1" applyBorder="1" applyAlignment="1">
      <alignment horizontal="center"/>
    </xf>
    <xf numFmtId="49" fontId="10" fillId="9" borderId="16" xfId="2" applyNumberFormat="1" applyFont="1" applyFill="1" applyBorder="1" applyAlignment="1">
      <alignment horizontal="left"/>
    </xf>
    <xf numFmtId="2" fontId="1" fillId="0" borderId="8" xfId="1" applyNumberFormat="1" applyBorder="1" applyAlignment="1">
      <alignment horizontal="right"/>
    </xf>
    <xf numFmtId="2" fontId="1" fillId="9" borderId="8" xfId="1" applyNumberFormat="1" applyFill="1" applyBorder="1" applyAlignment="1">
      <alignment horizontal="right"/>
    </xf>
    <xf numFmtId="2" fontId="1" fillId="10" borderId="8" xfId="1" applyNumberFormat="1" applyFill="1" applyBorder="1" applyAlignment="1">
      <alignment horizontal="right"/>
    </xf>
    <xf numFmtId="2" fontId="10" fillId="0" borderId="8" xfId="1" applyNumberFormat="1" applyFont="1" applyBorder="1" applyAlignment="1">
      <alignment horizontal="right"/>
    </xf>
    <xf numFmtId="44" fontId="1" fillId="0" borderId="8" xfId="1" applyFill="1" applyBorder="1" applyAlignment="1">
      <alignment vertical="center"/>
    </xf>
    <xf numFmtId="164" fontId="11" fillId="0" borderId="0" xfId="1" applyNumberFormat="1" applyFont="1" applyFill="1"/>
    <xf numFmtId="164" fontId="11" fillId="0" borderId="8" xfId="1" applyNumberFormat="1" applyFont="1" applyFill="1" applyBorder="1"/>
    <xf numFmtId="165" fontId="1" fillId="0" borderId="8" xfId="2" applyNumberFormat="1" applyFill="1" applyBorder="1" applyAlignment="1">
      <alignment horizontal="center"/>
    </xf>
    <xf numFmtId="164" fontId="1" fillId="13" borderId="53" xfId="1" applyNumberFormat="1" applyFill="1" applyBorder="1"/>
    <xf numFmtId="164" fontId="1" fillId="14" borderId="53" xfId="1" applyNumberFormat="1" applyFill="1" applyBorder="1"/>
    <xf numFmtId="44" fontId="1" fillId="0" borderId="0" xfId="1" applyFill="1" applyBorder="1"/>
    <xf numFmtId="44" fontId="1" fillId="0" borderId="0" xfId="1" applyFill="1" applyBorder="1" applyAlignment="1">
      <alignment horizontal="center"/>
    </xf>
    <xf numFmtId="164" fontId="1" fillId="15" borderId="3" xfId="1" applyNumberFormat="1" applyFill="1" applyBorder="1" applyAlignment="1">
      <alignment horizontal="center" vertical="center" wrapText="1"/>
    </xf>
    <xf numFmtId="164" fontId="1" fillId="15" borderId="8" xfId="1" applyNumberFormat="1" applyFill="1" applyBorder="1" applyAlignment="1">
      <alignment horizontal="center" vertical="center" wrapText="1"/>
    </xf>
    <xf numFmtId="164" fontId="1" fillId="15" borderId="8" xfId="1" applyNumberFormat="1" applyFill="1" applyBorder="1" applyAlignment="1">
      <alignment horizontal="center"/>
    </xf>
    <xf numFmtId="164" fontId="1" fillId="15" borderId="10" xfId="1" applyNumberFormat="1" applyFill="1" applyBorder="1" applyAlignment="1">
      <alignment horizontal="center"/>
    </xf>
    <xf numFmtId="164" fontId="1" fillId="15" borderId="3" xfId="1" applyNumberFormat="1" applyFill="1" applyBorder="1" applyAlignment="1">
      <alignment horizontal="left"/>
    </xf>
    <xf numFmtId="164" fontId="1" fillId="15" borderId="23" xfId="1" applyNumberFormat="1" applyFill="1" applyBorder="1" applyAlignment="1">
      <alignment horizontal="left"/>
    </xf>
    <xf numFmtId="164" fontId="1" fillId="15" borderId="8" xfId="1" applyNumberFormat="1" applyFill="1" applyBorder="1" applyAlignment="1">
      <alignment horizontal="left" vertical="center" wrapText="1"/>
    </xf>
    <xf numFmtId="164" fontId="1" fillId="15" borderId="8" xfId="1" applyNumberFormat="1" applyFill="1" applyBorder="1" applyAlignment="1">
      <alignment horizontal="right" vertical="center" wrapText="1"/>
    </xf>
    <xf numFmtId="164" fontId="1" fillId="15" borderId="23" xfId="1" applyNumberFormat="1" applyFill="1" applyBorder="1" applyAlignment="1">
      <alignment horizontal="right" vertical="center" wrapText="1"/>
    </xf>
    <xf numFmtId="164" fontId="1" fillId="15" borderId="8" xfId="1" applyNumberFormat="1" applyFill="1" applyBorder="1" applyAlignment="1">
      <alignment vertical="center" wrapText="1"/>
    </xf>
    <xf numFmtId="164" fontId="1" fillId="15" borderId="10" xfId="1" applyNumberFormat="1" applyFill="1" applyBorder="1" applyAlignment="1">
      <alignment horizontal="center" vertical="center" wrapText="1"/>
    </xf>
    <xf numFmtId="164" fontId="1" fillId="15" borderId="23" xfId="1" applyNumberFormat="1" applyFill="1" applyBorder="1" applyAlignment="1">
      <alignment horizontal="center"/>
    </xf>
    <xf numFmtId="0" fontId="10" fillId="9" borderId="16" xfId="2" applyFont="1" applyFill="1" applyBorder="1"/>
    <xf numFmtId="3" fontId="1" fillId="9" borderId="0" xfId="2" applyNumberFormat="1" applyFill="1" applyAlignment="1">
      <alignment horizontal="right" vertical="center" wrapText="1"/>
    </xf>
    <xf numFmtId="164" fontId="1" fillId="9" borderId="8" xfId="1" applyNumberFormat="1" applyFill="1" applyBorder="1" applyAlignment="1">
      <alignment horizontal="left"/>
    </xf>
    <xf numFmtId="2" fontId="1" fillId="9" borderId="8" xfId="2" applyNumberFormat="1" applyFill="1" applyBorder="1"/>
    <xf numFmtId="164" fontId="1" fillId="15" borderId="23" xfId="1" applyNumberFormat="1" applyFill="1" applyBorder="1" applyAlignment="1">
      <alignment horizontal="center" vertical="center" wrapText="1"/>
    </xf>
    <xf numFmtId="164" fontId="1" fillId="15" borderId="23" xfId="1" applyNumberFormat="1" applyFill="1" applyBorder="1" applyAlignment="1">
      <alignment horizontal="left" vertical="center" wrapText="1"/>
    </xf>
    <xf numFmtId="0" fontId="10" fillId="13" borderId="44" xfId="2" applyFont="1" applyFill="1" applyBorder="1" applyAlignment="1">
      <alignment horizontal="left"/>
    </xf>
    <xf numFmtId="49" fontId="10" fillId="9" borderId="23" xfId="2" applyNumberFormat="1" applyFont="1" applyFill="1" applyBorder="1" applyAlignment="1">
      <alignment horizontal="center" vertical="center" wrapText="1"/>
    </xf>
    <xf numFmtId="164" fontId="1" fillId="15" borderId="8" xfId="1" applyNumberFormat="1" applyFill="1" applyBorder="1" applyAlignment="1">
      <alignment horizontal="left"/>
    </xf>
    <xf numFmtId="164" fontId="1" fillId="15" borderId="11" xfId="1" applyNumberFormat="1" applyFill="1" applyBorder="1" applyAlignment="1">
      <alignment horizontal="left"/>
    </xf>
    <xf numFmtId="0" fontId="5" fillId="3" borderId="0" xfId="2" applyFont="1" applyFill="1" applyAlignment="1">
      <alignment horizontal="left"/>
    </xf>
    <xf numFmtId="0" fontId="5" fillId="3" borderId="0" xfId="2" applyFont="1" applyFill="1" applyAlignment="1">
      <alignment horizontal="center"/>
    </xf>
    <xf numFmtId="0" fontId="7" fillId="4" borderId="2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2" fontId="1" fillId="0" borderId="8" xfId="1" applyNumberFormat="1" applyBorder="1" applyAlignment="1">
      <alignment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164" fontId="7" fillId="4" borderId="3" xfId="2" applyNumberFormat="1" applyFont="1" applyFill="1" applyBorder="1" applyAlignment="1">
      <alignment horizontal="center" vertical="center" wrapText="1"/>
    </xf>
    <xf numFmtId="164" fontId="7" fillId="4" borderId="10" xfId="2" applyNumberFormat="1" applyFont="1" applyFill="1" applyBorder="1" applyAlignment="1">
      <alignment horizontal="center" vertical="center" wrapText="1"/>
    </xf>
    <xf numFmtId="164" fontId="1" fillId="0" borderId="8" xfId="1" applyNumberForma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2" fontId="1" fillId="0" borderId="8" xfId="2" applyNumberFormat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164" fontId="7" fillId="4" borderId="4" xfId="2" applyNumberFormat="1" applyFont="1" applyFill="1" applyBorder="1" applyAlignment="1">
      <alignment horizontal="center" vertical="center" wrapText="1"/>
    </xf>
    <xf numFmtId="164" fontId="7" fillId="4" borderId="11" xfId="2" applyNumberFormat="1" applyFont="1" applyFill="1" applyBorder="1" applyAlignment="1">
      <alignment horizontal="center" vertical="center" wrapText="1"/>
    </xf>
    <xf numFmtId="0" fontId="7" fillId="4" borderId="35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13" fillId="4" borderId="40" xfId="2" applyFont="1" applyFill="1" applyBorder="1" applyAlignment="1">
      <alignment horizontal="center" vertical="center" wrapText="1"/>
    </xf>
    <xf numFmtId="0" fontId="13" fillId="4" borderId="42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0" fontId="8" fillId="4" borderId="41" xfId="2" applyFont="1" applyFill="1" applyBorder="1" applyAlignment="1">
      <alignment horizontal="center" vertical="center" wrapText="1"/>
    </xf>
    <xf numFmtId="0" fontId="8" fillId="4" borderId="43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42" xfId="2" applyFont="1" applyFill="1" applyBorder="1" applyAlignment="1">
      <alignment horizontal="center" vertical="center" wrapText="1"/>
    </xf>
    <xf numFmtId="164" fontId="7" fillId="4" borderId="49" xfId="2" applyNumberFormat="1" applyFont="1" applyFill="1" applyBorder="1" applyAlignment="1">
      <alignment horizontal="center" vertical="center" wrapText="1"/>
    </xf>
    <xf numFmtId="164" fontId="7" fillId="4" borderId="32" xfId="2" applyNumberFormat="1" applyFont="1" applyFill="1" applyBorder="1" applyAlignment="1">
      <alignment horizontal="center" vertical="center" wrapText="1"/>
    </xf>
    <xf numFmtId="164" fontId="1" fillId="0" borderId="0" xfId="1" applyNumberFormat="1" applyFill="1" applyBorder="1" applyAlignment="1">
      <alignment horizontal="center"/>
    </xf>
  </cellXfs>
  <cellStyles count="3">
    <cellStyle name="Moneda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43816</xdr:colOff>
      <xdr:row>1</xdr:row>
      <xdr:rowOff>74771</xdr:rowOff>
    </xdr:from>
    <xdr:to>
      <xdr:col>1</xdr:col>
      <xdr:colOff>2015490</xdr:colOff>
      <xdr:row>3</xdr:row>
      <xdr:rowOff>143618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72CF66C6-9D7B-4054-B899-D1899D03A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1" y="236696"/>
          <a:ext cx="1971674" cy="46889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235</xdr:row>
      <xdr:rowOff>0</xdr:rowOff>
    </xdr:from>
    <xdr:to>
      <xdr:col>1</xdr:col>
      <xdr:colOff>2000249</xdr:colOff>
      <xdr:row>237</xdr:row>
      <xdr:rowOff>97421</xdr:rowOff>
    </xdr:to>
    <xdr:pic>
      <xdr:nvPicPr>
        <xdr:cNvPr id="3" name="30 Imagen">
          <a:extLst>
            <a:ext uri="{FF2B5EF4-FFF2-40B4-BE49-F238E27FC236}">
              <a16:creationId xmlns="" xmlns:a16="http://schemas.microsoft.com/office/drawing/2014/main" id="{3DF16878-FBE5-4DD2-8374-0D977226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9985950"/>
          <a:ext cx="1971674" cy="47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297</xdr:row>
      <xdr:rowOff>0</xdr:rowOff>
    </xdr:from>
    <xdr:to>
      <xdr:col>1</xdr:col>
      <xdr:colOff>1990724</xdr:colOff>
      <xdr:row>300</xdr:row>
      <xdr:rowOff>23812</xdr:rowOff>
    </xdr:to>
    <xdr:pic>
      <xdr:nvPicPr>
        <xdr:cNvPr id="4" name="31 Imagen">
          <a:extLst>
            <a:ext uri="{FF2B5EF4-FFF2-40B4-BE49-F238E27FC236}">
              <a16:creationId xmlns="" xmlns:a16="http://schemas.microsoft.com/office/drawing/2014/main" id="{7B318A13-E290-4B8E-8AA4-AD8FF0543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0844450"/>
          <a:ext cx="1971674" cy="49217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496</xdr:row>
      <xdr:rowOff>0</xdr:rowOff>
    </xdr:from>
    <xdr:to>
      <xdr:col>1</xdr:col>
      <xdr:colOff>1981199</xdr:colOff>
      <xdr:row>498</xdr:row>
      <xdr:rowOff>99538</xdr:rowOff>
    </xdr:to>
    <xdr:pic>
      <xdr:nvPicPr>
        <xdr:cNvPr id="5" name="34 Imagen">
          <a:extLst>
            <a:ext uri="{FF2B5EF4-FFF2-40B4-BE49-F238E27FC236}">
              <a16:creationId xmlns="" xmlns:a16="http://schemas.microsoft.com/office/drawing/2014/main" id="{87FC100A-EE5C-4B72-8DD9-60C07C6CA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4448650"/>
          <a:ext cx="1971674" cy="4805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607</xdr:row>
      <xdr:rowOff>0</xdr:rowOff>
    </xdr:from>
    <xdr:to>
      <xdr:col>1</xdr:col>
      <xdr:colOff>1981199</xdr:colOff>
      <xdr:row>609</xdr:row>
      <xdr:rowOff>99537</xdr:rowOff>
    </xdr:to>
    <xdr:pic>
      <xdr:nvPicPr>
        <xdr:cNvPr id="6" name="37 Imagen">
          <a:extLst>
            <a:ext uri="{FF2B5EF4-FFF2-40B4-BE49-F238E27FC236}">
              <a16:creationId xmlns="" xmlns:a16="http://schemas.microsoft.com/office/drawing/2014/main" id="{48EB3E6E-DEC6-4BC1-BA19-BEF3CA01D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2946200"/>
          <a:ext cx="1971674" cy="48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W709"/>
  <sheetViews>
    <sheetView tabSelected="1" topLeftCell="A223" zoomScale="80" zoomScaleNormal="80" zoomScaleSheetLayoutView="75" workbookViewId="0">
      <selection activeCell="C237" sqref="C237"/>
    </sheetView>
  </sheetViews>
  <sheetFormatPr baseColWidth="10" defaultColWidth="11.5703125" defaultRowHeight="12.75" x14ac:dyDescent="0.2"/>
  <cols>
    <col min="1" max="1" width="2.42578125" style="1" customWidth="1"/>
    <col min="2" max="2" width="40" style="1" customWidth="1"/>
    <col min="3" max="3" width="31.42578125" style="1" customWidth="1"/>
    <col min="4" max="4" width="7.28515625" style="1" customWidth="1"/>
    <col min="5" max="5" width="24.5703125" style="1" customWidth="1"/>
    <col min="6" max="6" width="15.140625" style="6" customWidth="1"/>
    <col min="7" max="7" width="12.5703125" style="6" customWidth="1"/>
    <col min="8" max="8" width="17.85546875" style="6" customWidth="1"/>
    <col min="9" max="9" width="12.140625" style="6" customWidth="1"/>
    <col min="10" max="10" width="12.85546875" style="6" customWidth="1"/>
    <col min="11" max="11" width="13.42578125" style="24" customWidth="1"/>
    <col min="12" max="12" width="1.85546875" style="1" hidden="1" customWidth="1"/>
    <col min="13" max="13" width="16" style="5" hidden="1" customWidth="1"/>
    <col min="14" max="14" width="21.85546875" style="5" hidden="1" customWidth="1"/>
    <col min="15" max="15" width="16" style="6" hidden="1" customWidth="1"/>
    <col min="16" max="16" width="17.140625" style="6" hidden="1" customWidth="1"/>
    <col min="17" max="17" width="17.140625" style="1" hidden="1" customWidth="1"/>
    <col min="18" max="18" width="17.5703125" style="7" hidden="1" customWidth="1"/>
    <col min="19" max="19" width="18.140625" style="5" hidden="1" customWidth="1"/>
    <col min="20" max="20" width="13.42578125" style="5" hidden="1" customWidth="1"/>
    <col min="21" max="21" width="13.28515625" style="1" hidden="1" customWidth="1"/>
    <col min="22" max="22" width="8.7109375" style="6" hidden="1" customWidth="1"/>
    <col min="23" max="23" width="14.42578125" style="6" hidden="1" customWidth="1"/>
    <col min="24" max="24" width="15" style="6" hidden="1" customWidth="1"/>
    <col min="25" max="25" width="9.7109375" style="8" hidden="1" customWidth="1"/>
    <col min="26" max="26" width="14.140625" style="1" hidden="1" customWidth="1"/>
    <col min="27" max="27" width="11.85546875" style="1" hidden="1" customWidth="1"/>
    <col min="28" max="35" width="11.5703125" style="1" hidden="1" customWidth="1"/>
    <col min="36" max="41" width="0" style="1" hidden="1" customWidth="1"/>
    <col min="42" max="178" width="11.5703125" style="1"/>
    <col min="179" max="179" width="12.42578125" style="1" bestFit="1" customWidth="1"/>
    <col min="180" max="16384" width="11.5703125" style="1"/>
  </cols>
  <sheetData>
    <row r="2" spans="1:25" x14ac:dyDescent="0.2">
      <c r="B2" s="2"/>
      <c r="C2" s="2"/>
      <c r="D2" s="2"/>
      <c r="E2" s="2"/>
      <c r="F2" s="3"/>
      <c r="G2" s="3"/>
      <c r="H2" s="3"/>
      <c r="I2" s="3"/>
      <c r="J2" s="3"/>
      <c r="K2" s="4"/>
    </row>
    <row r="3" spans="1:25" ht="18.75" x14ac:dyDescent="0.3">
      <c r="B3" s="9" t="s">
        <v>0</v>
      </c>
      <c r="C3" s="10"/>
      <c r="D3" s="10"/>
      <c r="E3" s="10"/>
      <c r="F3" s="3"/>
      <c r="G3" s="3"/>
      <c r="H3" s="3"/>
      <c r="I3" s="3"/>
      <c r="J3" s="3"/>
      <c r="K3" s="4"/>
    </row>
    <row r="4" spans="1:25" ht="15.75" x14ac:dyDescent="0.25">
      <c r="B4" s="11" t="s">
        <v>1</v>
      </c>
      <c r="C4" s="10"/>
      <c r="D4" s="10"/>
      <c r="E4" s="10"/>
      <c r="F4" s="3"/>
      <c r="G4" s="3"/>
      <c r="H4" s="3"/>
      <c r="I4" s="3"/>
      <c r="J4" s="3"/>
      <c r="K4" s="4"/>
    </row>
    <row r="5" spans="1:25" ht="15" x14ac:dyDescent="0.25">
      <c r="B5" s="12" t="s">
        <v>2</v>
      </c>
      <c r="C5" s="10"/>
      <c r="D5" s="10"/>
      <c r="E5" s="10"/>
      <c r="F5" s="3"/>
      <c r="G5" s="3"/>
      <c r="H5" s="3"/>
      <c r="I5" s="3"/>
      <c r="J5" s="3"/>
      <c r="K5" s="4"/>
    </row>
    <row r="6" spans="1:25" x14ac:dyDescent="0.2">
      <c r="B6" s="2"/>
      <c r="C6" s="2"/>
      <c r="D6" s="2"/>
      <c r="E6" s="2"/>
      <c r="F6" s="3" t="s">
        <v>3</v>
      </c>
      <c r="G6" s="3"/>
      <c r="H6" s="3"/>
      <c r="I6" s="3"/>
      <c r="J6" s="3"/>
      <c r="K6" s="4"/>
    </row>
    <row r="7" spans="1:25" ht="15" x14ac:dyDescent="0.25">
      <c r="B7" s="13"/>
      <c r="C7" s="13"/>
      <c r="D7" s="13" t="s">
        <v>639</v>
      </c>
      <c r="E7" s="13"/>
      <c r="F7" s="13"/>
      <c r="G7" s="13"/>
      <c r="H7" s="13"/>
      <c r="I7" s="14"/>
      <c r="J7" s="13"/>
      <c r="K7" s="13"/>
      <c r="L7" s="15"/>
    </row>
    <row r="8" spans="1:25" ht="15" x14ac:dyDescent="0.25">
      <c r="B8" s="16" t="s">
        <v>4</v>
      </c>
      <c r="C8" s="16"/>
      <c r="D8" s="475" t="s">
        <v>5</v>
      </c>
      <c r="E8" s="475"/>
      <c r="F8" s="14"/>
      <c r="G8" s="14"/>
      <c r="H8" s="476"/>
      <c r="I8" s="476"/>
      <c r="J8" s="14"/>
      <c r="K8" s="17"/>
      <c r="L8" s="18"/>
    </row>
    <row r="9" spans="1:25" ht="14.25" thickBot="1" x14ac:dyDescent="0.25">
      <c r="B9" s="19"/>
      <c r="C9" s="19"/>
      <c r="D9" s="19"/>
      <c r="E9" s="19"/>
      <c r="F9" s="20"/>
      <c r="G9" s="20"/>
      <c r="H9" s="20"/>
      <c r="I9" s="21"/>
      <c r="J9" s="20"/>
      <c r="K9" s="22"/>
      <c r="L9" s="19"/>
    </row>
    <row r="10" spans="1:25" ht="13.5" customHeight="1" x14ac:dyDescent="0.2">
      <c r="B10" s="477" t="s">
        <v>6</v>
      </c>
      <c r="C10" s="479" t="s">
        <v>7</v>
      </c>
      <c r="D10" s="479" t="s">
        <v>8</v>
      </c>
      <c r="E10" s="479" t="s">
        <v>9</v>
      </c>
      <c r="F10" s="481" t="s">
        <v>10</v>
      </c>
      <c r="G10" s="483" t="s">
        <v>11</v>
      </c>
      <c r="H10" s="485" t="s">
        <v>12</v>
      </c>
      <c r="I10" s="487" t="s">
        <v>13</v>
      </c>
      <c r="J10" s="491" t="s">
        <v>14</v>
      </c>
      <c r="K10" s="493" t="s">
        <v>15</v>
      </c>
      <c r="L10" s="23"/>
      <c r="M10" s="495" t="s">
        <v>16</v>
      </c>
      <c r="N10" s="495" t="s">
        <v>17</v>
      </c>
      <c r="O10" s="489" t="s">
        <v>18</v>
      </c>
      <c r="P10" s="489" t="s">
        <v>19</v>
      </c>
      <c r="Q10" s="489" t="s">
        <v>20</v>
      </c>
      <c r="R10" s="490" t="s">
        <v>21</v>
      </c>
      <c r="S10" s="495" t="s">
        <v>22</v>
      </c>
      <c r="T10" s="495" t="s">
        <v>16</v>
      </c>
      <c r="U10" s="498" t="s">
        <v>23</v>
      </c>
      <c r="V10" s="498" t="s">
        <v>24</v>
      </c>
      <c r="W10" s="489" t="s">
        <v>25</v>
      </c>
      <c r="X10" s="496" t="s">
        <v>26</v>
      </c>
      <c r="Y10" s="497" t="s">
        <v>27</v>
      </c>
    </row>
    <row r="11" spans="1:25" ht="14.25" customHeight="1" thickBot="1" x14ac:dyDescent="0.25">
      <c r="B11" s="478"/>
      <c r="C11" s="480"/>
      <c r="D11" s="480"/>
      <c r="E11" s="480"/>
      <c r="F11" s="482"/>
      <c r="G11" s="484"/>
      <c r="H11" s="486"/>
      <c r="I11" s="488"/>
      <c r="J11" s="492"/>
      <c r="K11" s="494"/>
      <c r="L11" s="23"/>
      <c r="M11" s="495"/>
      <c r="N11" s="495"/>
      <c r="O11" s="489"/>
      <c r="P11" s="489"/>
      <c r="Q11" s="489"/>
      <c r="R11" s="490"/>
      <c r="S11" s="495"/>
      <c r="T11" s="495"/>
      <c r="U11" s="498"/>
      <c r="V11" s="498"/>
      <c r="W11" s="489"/>
      <c r="X11" s="496"/>
      <c r="Y11" s="497"/>
    </row>
    <row r="12" spans="1:25" ht="13.5" thickBot="1" x14ac:dyDescent="0.25">
      <c r="D12" s="6"/>
    </row>
    <row r="13" spans="1:25" x14ac:dyDescent="0.2">
      <c r="B13" s="25" t="s">
        <v>28</v>
      </c>
      <c r="C13" s="26" t="s">
        <v>29</v>
      </c>
      <c r="D13" s="27" t="s">
        <v>30</v>
      </c>
      <c r="E13" s="28">
        <v>43344</v>
      </c>
      <c r="F13" s="29">
        <v>6933.6</v>
      </c>
      <c r="G13" s="29">
        <f>F13/15</f>
        <v>462.24</v>
      </c>
      <c r="H13" s="29">
        <v>4000</v>
      </c>
      <c r="I13" s="29">
        <f>F13/15*O13</f>
        <v>32356.799999999999</v>
      </c>
      <c r="J13" s="29">
        <f>F13/15*P13</f>
        <v>6656.2560000000003</v>
      </c>
      <c r="K13" s="30"/>
      <c r="L13" s="31"/>
      <c r="M13" s="459">
        <v>6420</v>
      </c>
      <c r="N13" s="33">
        <f>M13*(1+8%)</f>
        <v>6933.6</v>
      </c>
      <c r="O13" s="34">
        <v>70</v>
      </c>
      <c r="P13" s="34">
        <v>14.4</v>
      </c>
      <c r="Q13" s="35">
        <v>43344</v>
      </c>
      <c r="R13" s="36" t="s">
        <v>31</v>
      </c>
      <c r="S13" s="37">
        <f>M13*(1+V13)</f>
        <v>6933.6</v>
      </c>
      <c r="T13" s="38">
        <f>S13/1.08</f>
        <v>6420</v>
      </c>
      <c r="U13" s="38">
        <f>S13/15*5</f>
        <v>2311.1999999999998</v>
      </c>
      <c r="V13" s="39">
        <v>0.08</v>
      </c>
      <c r="W13" s="40">
        <v>44377</v>
      </c>
      <c r="X13" s="41">
        <f>(YEAR(W13)-YEAR(E13))*12+MONTH(W13)-MONTH(E13)</f>
        <v>33</v>
      </c>
      <c r="Y13" s="42">
        <f>X13/12</f>
        <v>2.75</v>
      </c>
    </row>
    <row r="14" spans="1:25" x14ac:dyDescent="0.2">
      <c r="B14" s="43" t="s">
        <v>32</v>
      </c>
      <c r="C14" s="44" t="s">
        <v>33</v>
      </c>
      <c r="D14" s="45" t="s">
        <v>34</v>
      </c>
      <c r="E14" s="46">
        <v>43344</v>
      </c>
      <c r="F14" s="47">
        <v>11573.334000000003</v>
      </c>
      <c r="G14" s="47">
        <f>F14/15</f>
        <v>771.55560000000014</v>
      </c>
      <c r="H14" s="48">
        <v>2000</v>
      </c>
      <c r="I14" s="47">
        <f>F14/15*O14</f>
        <v>54008.892000000007</v>
      </c>
      <c r="J14" s="47">
        <f>F14/15*P14</f>
        <v>11110.400640000002</v>
      </c>
      <c r="K14" s="49"/>
      <c r="L14" s="50"/>
      <c r="M14" s="459">
        <v>10716.050000000001</v>
      </c>
      <c r="N14" s="33">
        <f t="shared" ref="N14:N16" si="0">M14*(1+8%)</f>
        <v>11573.334000000003</v>
      </c>
      <c r="O14" s="34">
        <v>70</v>
      </c>
      <c r="P14" s="34">
        <v>14.4</v>
      </c>
      <c r="Q14" s="51">
        <v>43344</v>
      </c>
      <c r="R14" s="36" t="s">
        <v>31</v>
      </c>
      <c r="S14" s="37">
        <f>M14*(1+V14)</f>
        <v>11573.334000000003</v>
      </c>
      <c r="T14" s="38">
        <f t="shared" ref="T14:T16" si="1">S14/1.08</f>
        <v>10716.050000000001</v>
      </c>
      <c r="U14" s="38">
        <f t="shared" ref="U14:U16" si="2">S14/15*5</f>
        <v>3857.7780000000007</v>
      </c>
      <c r="V14" s="39">
        <v>0.08</v>
      </c>
      <c r="W14" s="40">
        <v>44377</v>
      </c>
      <c r="X14" s="41">
        <f>(YEAR(W14)-YEAR(E14))*12+MONTH(W14)-MONTH(E14)</f>
        <v>33</v>
      </c>
      <c r="Y14" s="42">
        <f>X14/12</f>
        <v>2.75</v>
      </c>
    </row>
    <row r="15" spans="1:25" ht="12.75" customHeight="1" x14ac:dyDescent="0.2">
      <c r="B15" s="43" t="s">
        <v>35</v>
      </c>
      <c r="C15" s="44" t="s">
        <v>36</v>
      </c>
      <c r="D15" s="45" t="s">
        <v>34</v>
      </c>
      <c r="E15" s="46">
        <v>43344</v>
      </c>
      <c r="F15" s="47">
        <v>41887.402992000003</v>
      </c>
      <c r="G15" s="47">
        <f>F15/15</f>
        <v>2792.4935328000001</v>
      </c>
      <c r="H15" s="48">
        <v>15800</v>
      </c>
      <c r="I15" s="47">
        <f>F15/15*O15</f>
        <v>195474.547296</v>
      </c>
      <c r="J15" s="47">
        <f>F15/15*P15</f>
        <v>40211.906872320003</v>
      </c>
      <c r="K15" s="49"/>
      <c r="L15" s="50"/>
      <c r="M15" s="459">
        <v>38784.632400000002</v>
      </c>
      <c r="N15" s="33">
        <f t="shared" si="0"/>
        <v>41887.402992000003</v>
      </c>
      <c r="O15" s="34">
        <v>70</v>
      </c>
      <c r="P15" s="34">
        <v>14.4</v>
      </c>
      <c r="Q15" s="51">
        <v>43344</v>
      </c>
      <c r="R15" s="36" t="s">
        <v>31</v>
      </c>
      <c r="S15" s="37">
        <f>M15*(1+V15)</f>
        <v>41887.402992000003</v>
      </c>
      <c r="T15" s="38">
        <f t="shared" si="1"/>
        <v>38784.632400000002</v>
      </c>
      <c r="U15" s="38">
        <f t="shared" si="2"/>
        <v>13962.467664</v>
      </c>
      <c r="V15" s="39">
        <v>0.08</v>
      </c>
      <c r="W15" s="40">
        <v>44377</v>
      </c>
      <c r="X15" s="41">
        <f>(YEAR(W15)-YEAR(E15))*12+MONTH(W15)-MONTH(E15)</f>
        <v>33</v>
      </c>
      <c r="Y15" s="42">
        <f>X15/12</f>
        <v>2.75</v>
      </c>
    </row>
    <row r="16" spans="1:25" ht="13.5" thickBot="1" x14ac:dyDescent="0.25">
      <c r="A16" s="52"/>
      <c r="B16" s="53" t="s">
        <v>37</v>
      </c>
      <c r="C16" s="54" t="s">
        <v>38</v>
      </c>
      <c r="D16" s="55" t="s">
        <v>30</v>
      </c>
      <c r="E16" s="56">
        <v>43348</v>
      </c>
      <c r="F16" s="57">
        <v>4945.9680000000008</v>
      </c>
      <c r="G16" s="57">
        <f>F16/15</f>
        <v>329.73120000000006</v>
      </c>
      <c r="H16" s="57"/>
      <c r="I16" s="57">
        <f>F16/15*O16</f>
        <v>23081.184000000005</v>
      </c>
      <c r="J16" s="57">
        <f>F16/15*P16</f>
        <v>4748.129280000001</v>
      </c>
      <c r="K16" s="58"/>
      <c r="L16" s="50"/>
      <c r="M16" s="459">
        <v>4579.6000000000004</v>
      </c>
      <c r="N16" s="33">
        <f t="shared" si="0"/>
        <v>4945.9680000000008</v>
      </c>
      <c r="O16" s="34">
        <v>70</v>
      </c>
      <c r="P16" s="34">
        <v>14.4</v>
      </c>
      <c r="Q16" s="51">
        <v>43348</v>
      </c>
      <c r="R16" s="59" t="s">
        <v>31</v>
      </c>
      <c r="S16" s="60">
        <f>M16*(1+V16)</f>
        <v>4945.9680000000008</v>
      </c>
      <c r="T16" s="38">
        <f t="shared" si="1"/>
        <v>4579.6000000000004</v>
      </c>
      <c r="U16" s="38">
        <f t="shared" si="2"/>
        <v>1648.6560000000004</v>
      </c>
      <c r="V16" s="39">
        <v>0.08</v>
      </c>
      <c r="W16" s="40">
        <v>44377</v>
      </c>
      <c r="X16" s="41">
        <f>(YEAR(W16)-YEAR(E16))*12+MONTH(W16)-MONTH(E16)</f>
        <v>33</v>
      </c>
      <c r="Y16" s="42">
        <f>X16/12</f>
        <v>2.75</v>
      </c>
    </row>
    <row r="17" spans="2:25" ht="13.5" thickBot="1" x14ac:dyDescent="0.25">
      <c r="D17" s="6"/>
      <c r="E17" s="62"/>
      <c r="F17" s="63"/>
      <c r="G17" s="63"/>
      <c r="H17" s="63"/>
      <c r="I17" s="63"/>
      <c r="J17" s="63"/>
      <c r="K17" s="63"/>
      <c r="N17" s="64"/>
      <c r="Q17" s="6"/>
      <c r="S17" s="65"/>
      <c r="U17" s="5"/>
      <c r="V17" s="66"/>
      <c r="W17" s="67"/>
      <c r="X17" s="68"/>
    </row>
    <row r="18" spans="2:25" x14ac:dyDescent="0.2">
      <c r="B18" s="69" t="s">
        <v>39</v>
      </c>
      <c r="C18" s="69" t="s">
        <v>40</v>
      </c>
      <c r="D18" s="70"/>
      <c r="E18" s="71" t="s">
        <v>41</v>
      </c>
      <c r="F18" s="72">
        <f t="shared" ref="F18:K18" si="3">SUM(F13:F17)</f>
        <v>65340.304992000005</v>
      </c>
      <c r="G18" s="72">
        <f t="shared" si="3"/>
        <v>4356.0203328000007</v>
      </c>
      <c r="H18" s="72">
        <f t="shared" si="3"/>
        <v>21800</v>
      </c>
      <c r="I18" s="72">
        <f t="shared" si="3"/>
        <v>304921.42329599999</v>
      </c>
      <c r="J18" s="72">
        <f t="shared" si="3"/>
        <v>62726.692792320006</v>
      </c>
      <c r="K18" s="72">
        <f t="shared" si="3"/>
        <v>0</v>
      </c>
      <c r="L18" s="73"/>
      <c r="M18" s="5" t="s">
        <v>42</v>
      </c>
      <c r="N18" s="64"/>
      <c r="Q18" s="6"/>
      <c r="S18" s="65"/>
      <c r="U18" s="5"/>
      <c r="W18" s="67"/>
      <c r="X18" s="68"/>
    </row>
    <row r="19" spans="2:25" ht="19.5" customHeight="1" thickBot="1" x14ac:dyDescent="0.25">
      <c r="B19" s="69" t="s">
        <v>43</v>
      </c>
      <c r="C19" s="69" t="s">
        <v>44</v>
      </c>
      <c r="D19" s="1" t="s">
        <v>45</v>
      </c>
      <c r="E19" s="74" t="s">
        <v>46</v>
      </c>
      <c r="F19" s="75">
        <f>F18*24</f>
        <v>1568167.3198080002</v>
      </c>
      <c r="G19" s="75">
        <f>G18*5</f>
        <v>21780.101664000002</v>
      </c>
      <c r="H19" s="75">
        <f>H18*24</f>
        <v>523200</v>
      </c>
      <c r="I19" s="75">
        <f>I18</f>
        <v>304921.42329599999</v>
      </c>
      <c r="J19" s="75">
        <f>J18</f>
        <v>62726.692792320006</v>
      </c>
      <c r="K19" s="76">
        <f>K18</f>
        <v>0</v>
      </c>
      <c r="L19" s="73"/>
      <c r="M19" s="77">
        <f>SUM(F19:K19)</f>
        <v>2480795.53756032</v>
      </c>
      <c r="N19" s="78"/>
      <c r="O19" s="79"/>
      <c r="P19" s="80"/>
      <c r="Q19" s="80"/>
      <c r="R19" s="81">
        <f>SUM(R13:R18)</f>
        <v>0</v>
      </c>
      <c r="S19" s="37">
        <f>M19*(1+V19)</f>
        <v>2679259.1805651458</v>
      </c>
      <c r="T19" s="77"/>
      <c r="U19" s="37">
        <f>SUM(U13:U18)</f>
        <v>21780.101663999998</v>
      </c>
      <c r="V19" s="82">
        <v>0.08</v>
      </c>
      <c r="W19" s="83"/>
      <c r="X19" s="41"/>
      <c r="Y19" s="42"/>
    </row>
    <row r="20" spans="2:25" x14ac:dyDescent="0.2">
      <c r="B20" s="69"/>
      <c r="F20" s="1"/>
      <c r="G20" s="1"/>
      <c r="N20" s="64"/>
      <c r="S20" s="84"/>
      <c r="W20" s="67"/>
      <c r="X20" s="68"/>
    </row>
    <row r="21" spans="2:25" ht="15" x14ac:dyDescent="0.25">
      <c r="B21" s="13"/>
      <c r="C21" s="13"/>
      <c r="D21" s="13" t="s">
        <v>639</v>
      </c>
      <c r="E21" s="13"/>
      <c r="F21" s="13"/>
      <c r="G21" s="13"/>
      <c r="H21" s="13"/>
      <c r="I21" s="14"/>
      <c r="J21" s="13"/>
      <c r="K21" s="13"/>
      <c r="L21" s="15"/>
      <c r="N21" s="64"/>
      <c r="S21" s="84"/>
      <c r="W21" s="67"/>
      <c r="X21" s="68"/>
    </row>
    <row r="22" spans="2:25" ht="15" x14ac:dyDescent="0.25">
      <c r="B22" s="16" t="s">
        <v>4</v>
      </c>
      <c r="C22" s="16"/>
      <c r="D22" s="475" t="s">
        <v>47</v>
      </c>
      <c r="E22" s="475"/>
      <c r="F22" s="14"/>
      <c r="G22" s="14"/>
      <c r="H22" s="476"/>
      <c r="I22" s="476"/>
      <c r="J22" s="14"/>
      <c r="K22" s="17"/>
      <c r="L22" s="18"/>
      <c r="N22" s="64"/>
      <c r="S22" s="84"/>
      <c r="W22" s="67"/>
      <c r="X22" s="68"/>
    </row>
    <row r="23" spans="2:25" ht="14.25" thickBot="1" x14ac:dyDescent="0.25">
      <c r="B23" s="19"/>
      <c r="C23" s="19"/>
      <c r="D23" s="19"/>
      <c r="E23" s="19"/>
      <c r="F23" s="20"/>
      <c r="G23" s="20"/>
      <c r="H23" s="20"/>
      <c r="I23" s="20"/>
      <c r="J23" s="20"/>
      <c r="K23" s="22"/>
      <c r="L23" s="19"/>
      <c r="N23" s="64"/>
      <c r="S23" s="84"/>
      <c r="W23" s="67"/>
      <c r="X23" s="68"/>
    </row>
    <row r="24" spans="2:25" ht="12.75" customHeight="1" x14ac:dyDescent="0.2">
      <c r="B24" s="477" t="s">
        <v>6</v>
      </c>
      <c r="C24" s="479" t="s">
        <v>7</v>
      </c>
      <c r="D24" s="479" t="s">
        <v>8</v>
      </c>
      <c r="E24" s="479" t="s">
        <v>9</v>
      </c>
      <c r="F24" s="481" t="s">
        <v>10</v>
      </c>
      <c r="G24" s="483" t="s">
        <v>11</v>
      </c>
      <c r="H24" s="481" t="s">
        <v>12</v>
      </c>
      <c r="I24" s="479" t="s">
        <v>13</v>
      </c>
      <c r="J24" s="479" t="s">
        <v>14</v>
      </c>
      <c r="K24" s="493" t="s">
        <v>15</v>
      </c>
      <c r="L24" s="23"/>
      <c r="M24" s="495" t="s">
        <v>16</v>
      </c>
      <c r="N24" s="495" t="s">
        <v>17</v>
      </c>
      <c r="O24" s="489" t="s">
        <v>18</v>
      </c>
      <c r="P24" s="489" t="s">
        <v>19</v>
      </c>
      <c r="Q24" s="489" t="s">
        <v>20</v>
      </c>
      <c r="R24" s="490" t="s">
        <v>21</v>
      </c>
      <c r="S24" s="495" t="s">
        <v>22</v>
      </c>
      <c r="T24" s="495" t="s">
        <v>16</v>
      </c>
      <c r="U24" s="498" t="s">
        <v>23</v>
      </c>
      <c r="V24" s="498" t="s">
        <v>24</v>
      </c>
      <c r="W24" s="489" t="s">
        <v>25</v>
      </c>
      <c r="X24" s="496" t="s">
        <v>26</v>
      </c>
      <c r="Y24" s="497" t="s">
        <v>27</v>
      </c>
    </row>
    <row r="25" spans="2:25" ht="13.5" customHeight="1" thickBot="1" x14ac:dyDescent="0.25">
      <c r="B25" s="478"/>
      <c r="C25" s="480"/>
      <c r="D25" s="480"/>
      <c r="E25" s="480"/>
      <c r="F25" s="482"/>
      <c r="G25" s="484"/>
      <c r="H25" s="482"/>
      <c r="I25" s="480"/>
      <c r="J25" s="480"/>
      <c r="K25" s="494"/>
      <c r="L25" s="23"/>
      <c r="M25" s="495"/>
      <c r="N25" s="495"/>
      <c r="O25" s="489"/>
      <c r="P25" s="489"/>
      <c r="Q25" s="489"/>
      <c r="R25" s="490"/>
      <c r="S25" s="495"/>
      <c r="T25" s="495"/>
      <c r="U25" s="498"/>
      <c r="V25" s="498"/>
      <c r="W25" s="489"/>
      <c r="X25" s="496"/>
      <c r="Y25" s="497"/>
    </row>
    <row r="26" spans="2:25" ht="13.5" thickBot="1" x14ac:dyDescent="0.25">
      <c r="D26" s="6"/>
      <c r="N26" s="64"/>
      <c r="S26" s="84"/>
      <c r="W26" s="67"/>
      <c r="X26" s="68"/>
    </row>
    <row r="27" spans="2:25" x14ac:dyDescent="0.2">
      <c r="B27" s="25" t="s">
        <v>48</v>
      </c>
      <c r="C27" s="26" t="s">
        <v>29</v>
      </c>
      <c r="D27" s="27" t="s">
        <v>30</v>
      </c>
      <c r="E27" s="28">
        <v>42248</v>
      </c>
      <c r="F27" s="29">
        <v>6088.4866080000011</v>
      </c>
      <c r="G27" s="29">
        <f t="shared" ref="G27:G32" si="4">F27/15</f>
        <v>405.89910720000006</v>
      </c>
      <c r="H27" s="85">
        <v>1752</v>
      </c>
      <c r="I27" s="29">
        <f t="shared" ref="I27:I32" si="5">F27/15*O27</f>
        <v>28412.937504000005</v>
      </c>
      <c r="J27" s="29">
        <f t="shared" ref="J27:J32" si="6">F27/15*P27</f>
        <v>7793.2628582400012</v>
      </c>
      <c r="K27" s="30">
        <f>F27/15*12+R27+R27</f>
        <v>5541.1092864000002</v>
      </c>
      <c r="L27" s="31"/>
      <c r="M27" s="453">
        <v>5637.4876000000004</v>
      </c>
      <c r="N27" s="87">
        <f>M27*(1+8%)</f>
        <v>6088.4866080000011</v>
      </c>
      <c r="O27" s="34">
        <v>70</v>
      </c>
      <c r="P27" s="34">
        <v>19.2</v>
      </c>
      <c r="Q27" s="35">
        <v>42248</v>
      </c>
      <c r="R27" s="36">
        <v>335.16</v>
      </c>
      <c r="S27" s="37">
        <f t="shared" ref="S27:S32" si="7">M27*(1+V27)</f>
        <v>6088.4866080000011</v>
      </c>
      <c r="T27" s="38">
        <f>S27/1.08</f>
        <v>5637.4876000000004</v>
      </c>
      <c r="U27" s="38">
        <f>S27/15*5</f>
        <v>2029.4955360000004</v>
      </c>
      <c r="V27" s="39">
        <v>0.08</v>
      </c>
      <c r="W27" s="40">
        <v>44377</v>
      </c>
      <c r="X27" s="41">
        <f t="shared" ref="X27:X32" si="8">(YEAR(W27)-YEAR(E27))*12+MONTH(W27)-MONTH(E27)</f>
        <v>69</v>
      </c>
      <c r="Y27" s="42">
        <f t="shared" ref="Y27:Y32" si="9">X27/12</f>
        <v>5.75</v>
      </c>
    </row>
    <row r="28" spans="2:25" x14ac:dyDescent="0.2">
      <c r="B28" s="88" t="s">
        <v>49</v>
      </c>
      <c r="C28" s="89" t="s">
        <v>50</v>
      </c>
      <c r="D28" s="90" t="s">
        <v>51</v>
      </c>
      <c r="E28" s="91">
        <v>36642</v>
      </c>
      <c r="F28" s="47">
        <v>6705.4961160000012</v>
      </c>
      <c r="G28" s="47">
        <f t="shared" si="4"/>
        <v>447.03307440000009</v>
      </c>
      <c r="H28" s="48"/>
      <c r="I28" s="47">
        <f t="shared" si="5"/>
        <v>31292.315208000007</v>
      </c>
      <c r="J28" s="47">
        <f t="shared" si="6"/>
        <v>8583.0350284800006</v>
      </c>
      <c r="K28" s="49">
        <f>F28/15*12+R28+R28</f>
        <v>6738.9968928000017</v>
      </c>
      <c r="L28" s="31"/>
      <c r="M28" s="454">
        <v>6208.7927000000009</v>
      </c>
      <c r="N28" s="87">
        <f t="shared" ref="N28:N32" si="10">M28*(1+8%)</f>
        <v>6705.4961160000012</v>
      </c>
      <c r="O28" s="34">
        <v>70</v>
      </c>
      <c r="P28" s="34">
        <v>19.2</v>
      </c>
      <c r="Q28" s="35">
        <v>36642</v>
      </c>
      <c r="R28" s="36">
        <v>687.3</v>
      </c>
      <c r="S28" s="37">
        <f t="shared" si="7"/>
        <v>6705.4961160000012</v>
      </c>
      <c r="T28" s="38">
        <f t="shared" ref="T28:T32" si="11">S28/1.08</f>
        <v>6208.7927000000009</v>
      </c>
      <c r="U28" s="38">
        <f t="shared" ref="U28:U32" si="12">S28/15*5</f>
        <v>2235.1653720000004</v>
      </c>
      <c r="V28" s="39">
        <v>0.08</v>
      </c>
      <c r="W28" s="40">
        <v>44377</v>
      </c>
      <c r="X28" s="41">
        <f t="shared" si="8"/>
        <v>254</v>
      </c>
      <c r="Y28" s="42">
        <f t="shared" si="9"/>
        <v>21.166666666666668</v>
      </c>
    </row>
    <row r="29" spans="2:25" x14ac:dyDescent="0.2">
      <c r="B29" s="88" t="s">
        <v>52</v>
      </c>
      <c r="C29" s="89" t="s">
        <v>29</v>
      </c>
      <c r="D29" s="90" t="s">
        <v>30</v>
      </c>
      <c r="E29" s="91">
        <v>43360</v>
      </c>
      <c r="F29" s="47">
        <v>9631.0361880000019</v>
      </c>
      <c r="G29" s="47">
        <f t="shared" si="4"/>
        <v>642.06907920000015</v>
      </c>
      <c r="H29" s="48"/>
      <c r="I29" s="47">
        <f t="shared" si="5"/>
        <v>44944.835544000009</v>
      </c>
      <c r="J29" s="47">
        <f t="shared" si="6"/>
        <v>9245.7947404800016</v>
      </c>
      <c r="K29" s="49"/>
      <c r="L29" s="31"/>
      <c r="M29" s="454">
        <v>8917.6261000000013</v>
      </c>
      <c r="N29" s="87">
        <f t="shared" si="10"/>
        <v>9631.0361880000019</v>
      </c>
      <c r="O29" s="34">
        <v>70</v>
      </c>
      <c r="P29" s="34">
        <v>14.4</v>
      </c>
      <c r="Q29" s="35">
        <v>43360</v>
      </c>
      <c r="R29" s="36">
        <v>0</v>
      </c>
      <c r="S29" s="37">
        <f t="shared" si="7"/>
        <v>9631.0361880000019</v>
      </c>
      <c r="T29" s="38">
        <f t="shared" si="11"/>
        <v>8917.6261000000013</v>
      </c>
      <c r="U29" s="38">
        <f t="shared" si="12"/>
        <v>3210.3453960000006</v>
      </c>
      <c r="V29" s="39">
        <v>0.08</v>
      </c>
      <c r="W29" s="40">
        <v>44377</v>
      </c>
      <c r="X29" s="41">
        <f t="shared" si="8"/>
        <v>33</v>
      </c>
      <c r="Y29" s="42">
        <f t="shared" si="9"/>
        <v>2.75</v>
      </c>
    </row>
    <row r="30" spans="2:25" ht="13.5" customHeight="1" x14ac:dyDescent="0.2">
      <c r="B30" s="88" t="s">
        <v>53</v>
      </c>
      <c r="C30" s="89" t="s">
        <v>54</v>
      </c>
      <c r="D30" s="90" t="s">
        <v>34</v>
      </c>
      <c r="E30" s="91">
        <v>43344</v>
      </c>
      <c r="F30" s="47">
        <v>34532.748576000005</v>
      </c>
      <c r="G30" s="47">
        <f t="shared" si="4"/>
        <v>2302.1832384000004</v>
      </c>
      <c r="H30" s="48">
        <v>11000</v>
      </c>
      <c r="I30" s="47">
        <f t="shared" si="5"/>
        <v>161152.82668800003</v>
      </c>
      <c r="J30" s="47">
        <f t="shared" si="6"/>
        <v>33151.438632960009</v>
      </c>
      <c r="K30" s="49"/>
      <c r="L30" s="31"/>
      <c r="M30" s="454">
        <v>31974.767200000006</v>
      </c>
      <c r="N30" s="87">
        <f t="shared" si="10"/>
        <v>34532.748576000005</v>
      </c>
      <c r="O30" s="34">
        <v>70</v>
      </c>
      <c r="P30" s="34">
        <v>14.4</v>
      </c>
      <c r="Q30" s="35">
        <v>43344</v>
      </c>
      <c r="R30" s="36">
        <v>0</v>
      </c>
      <c r="S30" s="37">
        <f t="shared" si="7"/>
        <v>34532.748576000005</v>
      </c>
      <c r="T30" s="38">
        <f t="shared" si="11"/>
        <v>31974.767200000002</v>
      </c>
      <c r="U30" s="38">
        <f t="shared" si="12"/>
        <v>11510.916192000002</v>
      </c>
      <c r="V30" s="39">
        <v>0.08</v>
      </c>
      <c r="W30" s="40">
        <v>44377</v>
      </c>
      <c r="X30" s="41">
        <f t="shared" si="8"/>
        <v>33</v>
      </c>
      <c r="Y30" s="42">
        <f t="shared" si="9"/>
        <v>2.75</v>
      </c>
    </row>
    <row r="31" spans="2:25" x14ac:dyDescent="0.2">
      <c r="B31" s="88" t="s">
        <v>55</v>
      </c>
      <c r="C31" s="89" t="s">
        <v>29</v>
      </c>
      <c r="D31" s="90" t="s">
        <v>30</v>
      </c>
      <c r="E31" s="91">
        <v>43344</v>
      </c>
      <c r="F31" s="47">
        <v>9012.7901880000009</v>
      </c>
      <c r="G31" s="47">
        <f t="shared" si="4"/>
        <v>600.85267920000001</v>
      </c>
      <c r="H31" s="48">
        <v>2000</v>
      </c>
      <c r="I31" s="47">
        <f t="shared" si="5"/>
        <v>42059.687544</v>
      </c>
      <c r="J31" s="47">
        <f t="shared" si="6"/>
        <v>8652.2785804800005</v>
      </c>
      <c r="K31" s="49"/>
      <c r="L31" s="31"/>
      <c r="M31" s="454">
        <v>10485</v>
      </c>
      <c r="N31" s="87">
        <f t="shared" si="10"/>
        <v>11323.800000000001</v>
      </c>
      <c r="O31" s="34">
        <v>70</v>
      </c>
      <c r="P31" s="34">
        <v>14.4</v>
      </c>
      <c r="Q31" s="35">
        <v>43344</v>
      </c>
      <c r="R31" s="36">
        <v>0</v>
      </c>
      <c r="S31" s="37">
        <f t="shared" si="7"/>
        <v>11323.800000000001</v>
      </c>
      <c r="T31" s="38">
        <f t="shared" si="11"/>
        <v>10485</v>
      </c>
      <c r="U31" s="38">
        <f t="shared" si="12"/>
        <v>3774.6000000000004</v>
      </c>
      <c r="V31" s="39">
        <v>0.08</v>
      </c>
      <c r="W31" s="40">
        <v>44377</v>
      </c>
      <c r="X31" s="41">
        <f t="shared" si="8"/>
        <v>33</v>
      </c>
      <c r="Y31" s="42">
        <f t="shared" si="9"/>
        <v>2.75</v>
      </c>
    </row>
    <row r="32" spans="2:25" ht="12.75" customHeight="1" thickBot="1" x14ac:dyDescent="0.25">
      <c r="B32" s="92" t="s">
        <v>56</v>
      </c>
      <c r="C32" s="93" t="s">
        <v>57</v>
      </c>
      <c r="D32" s="94" t="s">
        <v>51</v>
      </c>
      <c r="E32" s="95">
        <v>36488</v>
      </c>
      <c r="F32" s="57">
        <v>7031.9300040000016</v>
      </c>
      <c r="G32" s="57">
        <f t="shared" si="4"/>
        <v>468.79533360000011</v>
      </c>
      <c r="H32" s="96"/>
      <c r="I32" s="57">
        <f t="shared" si="5"/>
        <v>32815.673352000005</v>
      </c>
      <c r="J32" s="57">
        <f t="shared" si="6"/>
        <v>9000.870405120002</v>
      </c>
      <c r="K32" s="58">
        <f>F32/15*12+R32+R32</f>
        <v>7000.1440032000019</v>
      </c>
      <c r="L32" s="31"/>
      <c r="M32" s="463">
        <v>6511.0463000000009</v>
      </c>
      <c r="N32" s="87">
        <f t="shared" si="10"/>
        <v>7031.9300040000016</v>
      </c>
      <c r="O32" s="34">
        <v>70</v>
      </c>
      <c r="P32" s="34">
        <v>19.2</v>
      </c>
      <c r="Q32" s="35">
        <v>36488</v>
      </c>
      <c r="R32" s="36">
        <v>687.3</v>
      </c>
      <c r="S32" s="37">
        <f t="shared" si="7"/>
        <v>7031.9300040000016</v>
      </c>
      <c r="T32" s="38">
        <f t="shared" si="11"/>
        <v>6511.0463000000009</v>
      </c>
      <c r="U32" s="38">
        <f t="shared" si="12"/>
        <v>2343.9766680000007</v>
      </c>
      <c r="V32" s="39">
        <v>0.08</v>
      </c>
      <c r="W32" s="40">
        <v>44377</v>
      </c>
      <c r="X32" s="41">
        <f t="shared" si="8"/>
        <v>259</v>
      </c>
      <c r="Y32" s="42">
        <f t="shared" si="9"/>
        <v>21.583333333333332</v>
      </c>
    </row>
    <row r="33" spans="1:25" ht="13.5" thickBot="1" x14ac:dyDescent="0.25">
      <c r="B33" s="97"/>
      <c r="C33" s="97"/>
      <c r="D33" s="98"/>
      <c r="E33" s="99"/>
      <c r="F33" s="100"/>
      <c r="G33" s="100"/>
      <c r="H33" s="100"/>
      <c r="I33" s="100"/>
      <c r="J33" s="100"/>
      <c r="K33" s="101"/>
      <c r="N33" s="64"/>
      <c r="S33" s="84"/>
      <c r="V33" s="66"/>
      <c r="W33" s="67"/>
      <c r="X33" s="68"/>
    </row>
    <row r="34" spans="1:25" x14ac:dyDescent="0.2">
      <c r="B34" s="69" t="s">
        <v>39</v>
      </c>
      <c r="C34" s="69" t="s">
        <v>40</v>
      </c>
      <c r="D34" s="70"/>
      <c r="E34" s="71" t="s">
        <v>41</v>
      </c>
      <c r="F34" s="72">
        <f t="shared" ref="F34:K34" si="13">SUM(F27:F33)</f>
        <v>73002.48768000002</v>
      </c>
      <c r="G34" s="72">
        <f t="shared" si="13"/>
        <v>4866.8325120000009</v>
      </c>
      <c r="H34" s="72">
        <f t="shared" si="13"/>
        <v>14752</v>
      </c>
      <c r="I34" s="72">
        <f t="shared" si="13"/>
        <v>340678.27584000007</v>
      </c>
      <c r="J34" s="72">
        <f t="shared" si="13"/>
        <v>76426.680245760028</v>
      </c>
      <c r="K34" s="72">
        <f t="shared" si="13"/>
        <v>19280.250182400003</v>
      </c>
      <c r="L34" s="73"/>
      <c r="M34" s="5" t="s">
        <v>42</v>
      </c>
      <c r="N34" s="64"/>
      <c r="S34" s="84"/>
      <c r="V34" s="66"/>
      <c r="W34" s="67"/>
      <c r="X34" s="68"/>
    </row>
    <row r="35" spans="1:25" ht="19.5" customHeight="1" thickBot="1" x14ac:dyDescent="0.25">
      <c r="B35" s="69" t="s">
        <v>43</v>
      </c>
      <c r="C35" s="69" t="s">
        <v>44</v>
      </c>
      <c r="D35" s="1" t="s">
        <v>45</v>
      </c>
      <c r="E35" s="74" t="s">
        <v>46</v>
      </c>
      <c r="F35" s="75">
        <f>F34*24</f>
        <v>1752059.7043200005</v>
      </c>
      <c r="G35" s="75">
        <f>G34*5</f>
        <v>24334.162560000004</v>
      </c>
      <c r="H35" s="75">
        <f>H34*24</f>
        <v>354048</v>
      </c>
      <c r="I35" s="75">
        <f>I34</f>
        <v>340678.27584000007</v>
      </c>
      <c r="J35" s="75">
        <f>J34</f>
        <v>76426.680245760028</v>
      </c>
      <c r="K35" s="76">
        <f>K34</f>
        <v>19280.250182400003</v>
      </c>
      <c r="L35" s="73"/>
      <c r="M35" s="77">
        <f>SUM(F35:K35)</f>
        <v>2566827.0731481607</v>
      </c>
      <c r="N35" s="78"/>
      <c r="O35" s="79"/>
      <c r="P35" s="80"/>
      <c r="Q35" s="80"/>
      <c r="R35" s="81">
        <f>SUM(R27:R32)</f>
        <v>1709.76</v>
      </c>
      <c r="S35" s="37">
        <f>M35*(1+V35)</f>
        <v>2772173.2390000136</v>
      </c>
      <c r="T35" s="77"/>
      <c r="U35" s="102">
        <f>SUM(U27:U34)</f>
        <v>25104.499164000004</v>
      </c>
      <c r="V35" s="39">
        <v>0.08</v>
      </c>
      <c r="W35" s="40"/>
      <c r="X35" s="41"/>
      <c r="Y35" s="42"/>
    </row>
    <row r="36" spans="1:25" x14ac:dyDescent="0.2">
      <c r="B36" s="69"/>
      <c r="F36" s="1"/>
      <c r="G36" s="1"/>
      <c r="N36" s="64"/>
      <c r="S36" s="84"/>
      <c r="V36" s="66"/>
      <c r="W36" s="67"/>
      <c r="X36" s="68"/>
    </row>
    <row r="37" spans="1:25" ht="15" x14ac:dyDescent="0.25">
      <c r="B37" s="13"/>
      <c r="C37" s="13"/>
      <c r="D37" s="13" t="s">
        <v>639</v>
      </c>
      <c r="E37" s="13"/>
      <c r="F37" s="13"/>
      <c r="G37" s="13"/>
      <c r="H37" s="13"/>
      <c r="I37" s="14"/>
      <c r="J37" s="13"/>
      <c r="K37" s="13"/>
      <c r="L37" s="15"/>
      <c r="N37" s="64"/>
      <c r="S37" s="84"/>
      <c r="V37" s="66"/>
      <c r="W37" s="67"/>
      <c r="X37" s="68"/>
    </row>
    <row r="38" spans="1:25" ht="15" x14ac:dyDescent="0.25">
      <c r="B38" s="16" t="s">
        <v>4</v>
      </c>
      <c r="C38" s="16"/>
      <c r="D38" s="475" t="s">
        <v>58</v>
      </c>
      <c r="E38" s="475"/>
      <c r="F38" s="14"/>
      <c r="G38" s="14"/>
      <c r="H38" s="476"/>
      <c r="I38" s="476"/>
      <c r="J38" s="14"/>
      <c r="K38" s="17"/>
      <c r="L38" s="18"/>
      <c r="N38" s="64"/>
      <c r="S38" s="84"/>
      <c r="V38" s="66"/>
      <c r="W38" s="67"/>
      <c r="X38" s="68"/>
    </row>
    <row r="39" spans="1:25" ht="14.25" thickBot="1" x14ac:dyDescent="0.25">
      <c r="B39" s="19"/>
      <c r="C39" s="19"/>
      <c r="D39" s="19"/>
      <c r="E39" s="19"/>
      <c r="F39" s="20"/>
      <c r="G39" s="20"/>
      <c r="H39" s="20"/>
      <c r="I39" s="20"/>
      <c r="J39" s="20"/>
      <c r="K39" s="22"/>
      <c r="L39" s="19"/>
      <c r="N39" s="64"/>
      <c r="S39" s="84"/>
      <c r="V39" s="66"/>
      <c r="W39" s="67"/>
      <c r="X39" s="68"/>
    </row>
    <row r="40" spans="1:25" ht="12.75" customHeight="1" x14ac:dyDescent="0.2">
      <c r="B40" s="477" t="s">
        <v>6</v>
      </c>
      <c r="C40" s="479" t="s">
        <v>7</v>
      </c>
      <c r="D40" s="479" t="s">
        <v>8</v>
      </c>
      <c r="E40" s="479" t="s">
        <v>9</v>
      </c>
      <c r="F40" s="481" t="s">
        <v>10</v>
      </c>
      <c r="G40" s="483" t="s">
        <v>11</v>
      </c>
      <c r="H40" s="481" t="s">
        <v>12</v>
      </c>
      <c r="I40" s="479" t="s">
        <v>13</v>
      </c>
      <c r="J40" s="479" t="s">
        <v>14</v>
      </c>
      <c r="K40" s="493" t="s">
        <v>15</v>
      </c>
      <c r="L40" s="23"/>
      <c r="M40" s="495" t="s">
        <v>16</v>
      </c>
      <c r="N40" s="495" t="s">
        <v>17</v>
      </c>
      <c r="O40" s="489" t="s">
        <v>18</v>
      </c>
      <c r="P40" s="489" t="s">
        <v>19</v>
      </c>
      <c r="Q40" s="489" t="s">
        <v>20</v>
      </c>
      <c r="R40" s="490" t="s">
        <v>21</v>
      </c>
      <c r="S40" s="495" t="s">
        <v>22</v>
      </c>
      <c r="T40" s="495" t="s">
        <v>16</v>
      </c>
      <c r="U40" s="498" t="s">
        <v>23</v>
      </c>
      <c r="V40" s="498" t="s">
        <v>24</v>
      </c>
      <c r="W40" s="489" t="s">
        <v>25</v>
      </c>
      <c r="X40" s="496" t="s">
        <v>26</v>
      </c>
      <c r="Y40" s="497" t="s">
        <v>27</v>
      </c>
    </row>
    <row r="41" spans="1:25" ht="13.5" customHeight="1" thickBot="1" x14ac:dyDescent="0.25">
      <c r="B41" s="478"/>
      <c r="C41" s="480"/>
      <c r="D41" s="480"/>
      <c r="E41" s="480"/>
      <c r="F41" s="482"/>
      <c r="G41" s="484"/>
      <c r="H41" s="482"/>
      <c r="I41" s="480"/>
      <c r="J41" s="480"/>
      <c r="K41" s="494"/>
      <c r="L41" s="23"/>
      <c r="M41" s="495"/>
      <c r="N41" s="495"/>
      <c r="O41" s="489"/>
      <c r="P41" s="489"/>
      <c r="Q41" s="489"/>
      <c r="R41" s="490"/>
      <c r="S41" s="495"/>
      <c r="T41" s="495"/>
      <c r="U41" s="498"/>
      <c r="V41" s="498"/>
      <c r="W41" s="489"/>
      <c r="X41" s="496"/>
      <c r="Y41" s="497"/>
    </row>
    <row r="42" spans="1:25" ht="13.5" thickBot="1" x14ac:dyDescent="0.25">
      <c r="D42" s="6"/>
      <c r="N42" s="64"/>
      <c r="S42" s="84"/>
      <c r="V42" s="66"/>
      <c r="W42" s="67"/>
      <c r="X42" s="68"/>
    </row>
    <row r="43" spans="1:25" x14ac:dyDescent="0.2">
      <c r="B43" s="25" t="s">
        <v>59</v>
      </c>
      <c r="C43" s="26" t="s">
        <v>50</v>
      </c>
      <c r="D43" s="27" t="s">
        <v>51</v>
      </c>
      <c r="E43" s="430">
        <v>33970</v>
      </c>
      <c r="F43" s="436">
        <v>8095.3131240000012</v>
      </c>
      <c r="G43" s="433">
        <f>F43/15</f>
        <v>539.68754160000003</v>
      </c>
      <c r="H43" s="29">
        <v>300</v>
      </c>
      <c r="I43" s="29">
        <f>F43/15*O43</f>
        <v>37778.127912000004</v>
      </c>
      <c r="J43" s="29">
        <f>F43/15*P43</f>
        <v>10362.000798720001</v>
      </c>
      <c r="K43" s="30">
        <f>F43/15*12+R43+R43</f>
        <v>8231.2504991999995</v>
      </c>
      <c r="L43" s="31"/>
      <c r="M43" s="453">
        <v>7495.6603000000005</v>
      </c>
      <c r="N43" s="87">
        <f>M43*(1+8%)</f>
        <v>8095.3131240000012</v>
      </c>
      <c r="O43" s="34">
        <v>70</v>
      </c>
      <c r="P43" s="34">
        <v>19.2</v>
      </c>
      <c r="Q43" s="35">
        <v>33970</v>
      </c>
      <c r="R43" s="36">
        <v>877.5</v>
      </c>
      <c r="S43" s="103">
        <f>M43*(1+V43)</f>
        <v>8095.3131240000012</v>
      </c>
      <c r="T43" s="38">
        <f>S43/1.08</f>
        <v>7495.6603000000005</v>
      </c>
      <c r="U43" s="38">
        <f>S43/15*5</f>
        <v>2698.4377080000004</v>
      </c>
      <c r="V43" s="39">
        <v>0.08</v>
      </c>
      <c r="W43" s="40">
        <v>44377</v>
      </c>
      <c r="X43" s="41">
        <f>(YEAR(W43)-YEAR(E43))*12+MONTH(W43)-MONTH(E43)</f>
        <v>341</v>
      </c>
      <c r="Y43" s="42">
        <f>X43/12</f>
        <v>28.416666666666668</v>
      </c>
    </row>
    <row r="44" spans="1:25" x14ac:dyDescent="0.2">
      <c r="B44" s="104" t="s">
        <v>60</v>
      </c>
      <c r="C44" s="105" t="s">
        <v>61</v>
      </c>
      <c r="D44" s="45" t="s">
        <v>30</v>
      </c>
      <c r="E44" s="431">
        <v>40988</v>
      </c>
      <c r="F44" s="437">
        <v>5254.5132000000003</v>
      </c>
      <c r="G44" s="434">
        <f>F44/15</f>
        <v>350.30088000000001</v>
      </c>
      <c r="H44" s="47"/>
      <c r="I44" s="47">
        <f>F44/15*O44</f>
        <v>24521.061600000001</v>
      </c>
      <c r="J44" s="47">
        <f>F44/15*P44</f>
        <v>6725.7768960000003</v>
      </c>
      <c r="K44" s="49">
        <f>F44/15*12+R44+R44</f>
        <v>4873.9305599999998</v>
      </c>
      <c r="L44" s="31"/>
      <c r="M44" s="454">
        <v>4865.29</v>
      </c>
      <c r="N44" s="87">
        <f t="shared" ref="N44:N46" si="14">M44*(1+8%)</f>
        <v>5254.5132000000003</v>
      </c>
      <c r="O44" s="34">
        <v>70</v>
      </c>
      <c r="P44" s="34">
        <v>19.2</v>
      </c>
      <c r="Q44" s="35">
        <v>40988</v>
      </c>
      <c r="R44" s="36">
        <v>335.16</v>
      </c>
      <c r="S44" s="103">
        <f>M44*(1+V44)</f>
        <v>5254.5132000000003</v>
      </c>
      <c r="T44" s="38">
        <f t="shared" ref="T44:T46" si="15">S44/1.08</f>
        <v>4865.29</v>
      </c>
      <c r="U44" s="38">
        <f t="shared" ref="U44:U46" si="16">S44/15*5</f>
        <v>1751.5044</v>
      </c>
      <c r="V44" s="39">
        <v>0.08</v>
      </c>
      <c r="W44" s="40">
        <v>44377</v>
      </c>
      <c r="X44" s="41">
        <f>(YEAR(W44)-YEAR(E44))*12+MONTH(W44)-MONTH(E44)</f>
        <v>111</v>
      </c>
      <c r="Y44" s="42">
        <f>X44/12</f>
        <v>9.25</v>
      </c>
    </row>
    <row r="45" spans="1:25" x14ac:dyDescent="0.2">
      <c r="A45" s="52"/>
      <c r="B45" s="104" t="s">
        <v>62</v>
      </c>
      <c r="C45" s="105" t="s">
        <v>63</v>
      </c>
      <c r="D45" s="45" t="s">
        <v>34</v>
      </c>
      <c r="E45" s="431">
        <v>43344</v>
      </c>
      <c r="F45" s="437">
        <v>19804.892364000007</v>
      </c>
      <c r="G45" s="434">
        <f>F45/15</f>
        <v>1320.3261576000004</v>
      </c>
      <c r="H45" s="47">
        <v>5000</v>
      </c>
      <c r="I45" s="47">
        <f>F45/15*O45</f>
        <v>92422.831032000031</v>
      </c>
      <c r="J45" s="47">
        <f>F45/15*P45</f>
        <v>19012.696669440007</v>
      </c>
      <c r="K45" s="49"/>
      <c r="L45" s="31"/>
      <c r="M45" s="454">
        <v>18337.863300000005</v>
      </c>
      <c r="N45" s="87">
        <f t="shared" si="14"/>
        <v>19804.892364000007</v>
      </c>
      <c r="O45" s="107">
        <v>70</v>
      </c>
      <c r="P45" s="34">
        <v>14.4</v>
      </c>
      <c r="Q45" s="35">
        <v>43344</v>
      </c>
      <c r="R45" s="36">
        <v>0</v>
      </c>
      <c r="S45" s="103">
        <f>M45*(1+V45)</f>
        <v>19804.892364000007</v>
      </c>
      <c r="T45" s="38">
        <f t="shared" si="15"/>
        <v>18337.863300000005</v>
      </c>
      <c r="U45" s="38">
        <f t="shared" si="16"/>
        <v>6601.6307880000022</v>
      </c>
      <c r="V45" s="39">
        <v>0.08</v>
      </c>
      <c r="W45" s="40">
        <v>44377</v>
      </c>
      <c r="X45" s="41">
        <f>(YEAR(W45)-YEAR(E45))*12+MONTH(W45)-MONTH(E45)</f>
        <v>33</v>
      </c>
      <c r="Y45" s="42">
        <f>X45/12</f>
        <v>2.75</v>
      </c>
    </row>
    <row r="46" spans="1:25" ht="13.5" thickBot="1" x14ac:dyDescent="0.25">
      <c r="B46" s="108" t="s">
        <v>64</v>
      </c>
      <c r="C46" s="109" t="s">
        <v>61</v>
      </c>
      <c r="D46" s="55" t="s">
        <v>51</v>
      </c>
      <c r="E46" s="432">
        <v>36530</v>
      </c>
      <c r="F46" s="438">
        <v>8154.0000000000009</v>
      </c>
      <c r="G46" s="435">
        <f>F46/15</f>
        <v>543.6</v>
      </c>
      <c r="H46" s="57">
        <v>300</v>
      </c>
      <c r="I46" s="57">
        <f>F46/15*O46</f>
        <v>38052</v>
      </c>
      <c r="J46" s="57">
        <f>F46/15*P46</f>
        <v>10437.120000000001</v>
      </c>
      <c r="K46" s="58">
        <f>F46/15*12+R46+R46</f>
        <v>7897.8000000000011</v>
      </c>
      <c r="L46" s="31"/>
      <c r="M46" s="463">
        <v>7530</v>
      </c>
      <c r="N46" s="87">
        <f t="shared" si="14"/>
        <v>8132.4000000000005</v>
      </c>
      <c r="O46" s="34">
        <v>70</v>
      </c>
      <c r="P46" s="34">
        <v>19.2</v>
      </c>
      <c r="Q46" s="35">
        <v>36530</v>
      </c>
      <c r="R46" s="36">
        <v>687.3</v>
      </c>
      <c r="S46" s="103">
        <f>M46*(1+V46)</f>
        <v>8132.4000000000005</v>
      </c>
      <c r="T46" s="38">
        <f t="shared" si="15"/>
        <v>7530</v>
      </c>
      <c r="U46" s="38">
        <f t="shared" si="16"/>
        <v>2710.8</v>
      </c>
      <c r="V46" s="39">
        <v>0.08</v>
      </c>
      <c r="W46" s="40">
        <v>44377</v>
      </c>
      <c r="X46" s="41">
        <f>(YEAR(W46)-YEAR(E46))*12+MONTH(W46)-MONTH(E46)</f>
        <v>257</v>
      </c>
      <c r="Y46" s="42">
        <f>X46/12</f>
        <v>21.416666666666668</v>
      </c>
    </row>
    <row r="47" spans="1:25" ht="13.5" thickBot="1" x14ac:dyDescent="0.25">
      <c r="A47" s="52"/>
      <c r="B47" s="110"/>
      <c r="C47" s="110"/>
      <c r="D47" s="111"/>
      <c r="E47" s="112"/>
      <c r="F47" s="113"/>
      <c r="G47" s="113"/>
      <c r="H47" s="113"/>
      <c r="I47" s="113"/>
      <c r="J47" s="113"/>
      <c r="K47" s="114"/>
      <c r="L47" s="31"/>
      <c r="M47" s="84"/>
      <c r="N47" s="64"/>
      <c r="O47" s="115"/>
      <c r="Q47" s="112"/>
      <c r="S47" s="84"/>
      <c r="V47" s="66"/>
      <c r="W47" s="67"/>
      <c r="X47" s="68"/>
    </row>
    <row r="48" spans="1:25" x14ac:dyDescent="0.2">
      <c r="B48" s="69" t="s">
        <v>65</v>
      </c>
      <c r="C48" s="69" t="s">
        <v>43</v>
      </c>
      <c r="D48" s="70"/>
      <c r="E48" s="71" t="s">
        <v>41</v>
      </c>
      <c r="F48" s="72">
        <f t="shared" ref="F48:K48" si="17">SUM(F43:F46)</f>
        <v>41308.718688000008</v>
      </c>
      <c r="G48" s="72">
        <f t="shared" si="17"/>
        <v>2753.9145792000004</v>
      </c>
      <c r="H48" s="72">
        <f t="shared" si="17"/>
        <v>5600</v>
      </c>
      <c r="I48" s="72">
        <f t="shared" si="17"/>
        <v>192774.02054400003</v>
      </c>
      <c r="J48" s="72">
        <f t="shared" si="17"/>
        <v>46537.59436416001</v>
      </c>
      <c r="K48" s="72">
        <f t="shared" si="17"/>
        <v>21002.981059199999</v>
      </c>
      <c r="L48" s="73"/>
      <c r="M48" s="5" t="s">
        <v>42</v>
      </c>
      <c r="N48" s="64"/>
      <c r="S48" s="84"/>
      <c r="W48" s="67"/>
      <c r="X48" s="68"/>
    </row>
    <row r="49" spans="1:25" ht="19.5" customHeight="1" thickBot="1" x14ac:dyDescent="0.25">
      <c r="B49" s="69" t="s">
        <v>39</v>
      </c>
      <c r="C49" s="69" t="s">
        <v>44</v>
      </c>
      <c r="E49" s="74" t="s">
        <v>46</v>
      </c>
      <c r="F49" s="75">
        <f>F48*24</f>
        <v>991409.24851200019</v>
      </c>
      <c r="G49" s="75">
        <f>G48*5</f>
        <v>13769.572896000001</v>
      </c>
      <c r="H49" s="75">
        <f>H48*24</f>
        <v>134400</v>
      </c>
      <c r="I49" s="75">
        <f>I48</f>
        <v>192774.02054400003</v>
      </c>
      <c r="J49" s="75">
        <f>J48</f>
        <v>46537.59436416001</v>
      </c>
      <c r="K49" s="76">
        <f>K48</f>
        <v>21002.981059199999</v>
      </c>
      <c r="L49" s="73"/>
      <c r="M49" s="77">
        <f>SUM(F49:K49)</f>
        <v>1399893.4173753601</v>
      </c>
      <c r="N49" s="78"/>
      <c r="O49" s="79"/>
      <c r="P49" s="80"/>
      <c r="Q49" s="80"/>
      <c r="R49" s="81">
        <f>SUM(R43:R46)</f>
        <v>1899.96</v>
      </c>
      <c r="S49" s="37">
        <f>M49*(1+V49)</f>
        <v>1511884.890765389</v>
      </c>
      <c r="T49" s="77"/>
      <c r="U49" s="102">
        <f>SUM(U43:U48)</f>
        <v>13762.372896000001</v>
      </c>
      <c r="V49" s="82">
        <v>0.08</v>
      </c>
      <c r="W49" s="40"/>
      <c r="X49" s="41"/>
      <c r="Y49" s="42"/>
    </row>
    <row r="50" spans="1:25" x14ac:dyDescent="0.2">
      <c r="C50" s="69"/>
      <c r="F50" s="1"/>
      <c r="G50" s="1"/>
      <c r="N50" s="64"/>
      <c r="S50" s="84"/>
      <c r="V50" s="66"/>
      <c r="W50" s="67"/>
      <c r="X50" s="68"/>
    </row>
    <row r="51" spans="1:25" ht="15" x14ac:dyDescent="0.25">
      <c r="B51" s="13"/>
      <c r="C51" s="13"/>
      <c r="D51" s="13" t="s">
        <v>639</v>
      </c>
      <c r="E51" s="13"/>
      <c r="F51" s="13"/>
      <c r="G51" s="13"/>
      <c r="H51" s="13"/>
      <c r="I51" s="14"/>
      <c r="J51" s="13"/>
      <c r="K51" s="13"/>
      <c r="L51" s="15"/>
      <c r="N51" s="64"/>
      <c r="S51" s="84"/>
      <c r="V51" s="66"/>
      <c r="W51" s="67"/>
      <c r="X51" s="68"/>
    </row>
    <row r="52" spans="1:25" ht="15" x14ac:dyDescent="0.25">
      <c r="B52" s="476" t="s">
        <v>4</v>
      </c>
      <c r="C52" s="476"/>
      <c r="D52" s="476" t="s">
        <v>66</v>
      </c>
      <c r="E52" s="476"/>
      <c r="F52" s="476"/>
      <c r="G52" s="476"/>
      <c r="H52" s="476"/>
      <c r="I52" s="14"/>
      <c r="J52" s="476"/>
      <c r="K52" s="476"/>
      <c r="L52" s="15"/>
      <c r="N52" s="64"/>
      <c r="S52" s="84"/>
      <c r="V52" s="66"/>
      <c r="W52" s="67"/>
      <c r="X52" s="68"/>
    </row>
    <row r="53" spans="1:25" ht="15.75" thickBot="1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16"/>
      <c r="L53" s="15"/>
      <c r="N53" s="64"/>
      <c r="S53" s="84"/>
      <c r="V53" s="66"/>
      <c r="W53" s="67"/>
      <c r="X53" s="68"/>
    </row>
    <row r="54" spans="1:25" ht="12.75" customHeight="1" x14ac:dyDescent="0.2">
      <c r="B54" s="477" t="s">
        <v>6</v>
      </c>
      <c r="C54" s="479" t="s">
        <v>7</v>
      </c>
      <c r="D54" s="479" t="s">
        <v>8</v>
      </c>
      <c r="E54" s="479" t="s">
        <v>9</v>
      </c>
      <c r="F54" s="481" t="s">
        <v>10</v>
      </c>
      <c r="G54" s="483" t="s">
        <v>11</v>
      </c>
      <c r="H54" s="481" t="s">
        <v>12</v>
      </c>
      <c r="I54" s="479" t="s">
        <v>13</v>
      </c>
      <c r="J54" s="479" t="s">
        <v>14</v>
      </c>
      <c r="K54" s="493" t="s">
        <v>15</v>
      </c>
      <c r="L54" s="23"/>
      <c r="M54" s="495" t="s">
        <v>16</v>
      </c>
      <c r="N54" s="495" t="s">
        <v>17</v>
      </c>
      <c r="O54" s="489" t="s">
        <v>18</v>
      </c>
      <c r="P54" s="489" t="s">
        <v>19</v>
      </c>
      <c r="Q54" s="489" t="s">
        <v>20</v>
      </c>
      <c r="R54" s="490" t="s">
        <v>21</v>
      </c>
      <c r="S54" s="495" t="s">
        <v>22</v>
      </c>
      <c r="T54" s="495" t="s">
        <v>16</v>
      </c>
      <c r="U54" s="498" t="s">
        <v>23</v>
      </c>
      <c r="V54" s="498" t="s">
        <v>24</v>
      </c>
      <c r="W54" s="489" t="s">
        <v>25</v>
      </c>
      <c r="X54" s="489" t="s">
        <v>26</v>
      </c>
      <c r="Y54" s="497" t="s">
        <v>27</v>
      </c>
    </row>
    <row r="55" spans="1:25" ht="13.5" thickBot="1" x14ac:dyDescent="0.25">
      <c r="B55" s="478"/>
      <c r="C55" s="480"/>
      <c r="D55" s="480"/>
      <c r="E55" s="480"/>
      <c r="F55" s="482"/>
      <c r="G55" s="484"/>
      <c r="H55" s="482"/>
      <c r="I55" s="480"/>
      <c r="J55" s="480"/>
      <c r="K55" s="494"/>
      <c r="L55" s="23"/>
      <c r="M55" s="495"/>
      <c r="N55" s="495"/>
      <c r="O55" s="489"/>
      <c r="P55" s="489"/>
      <c r="Q55" s="489"/>
      <c r="R55" s="490"/>
      <c r="S55" s="495"/>
      <c r="T55" s="495"/>
      <c r="U55" s="498"/>
      <c r="V55" s="498"/>
      <c r="W55" s="489"/>
      <c r="X55" s="489"/>
      <c r="Y55" s="497"/>
    </row>
    <row r="56" spans="1:25" ht="13.5" thickBot="1" x14ac:dyDescent="0.25">
      <c r="D56" s="6"/>
      <c r="N56" s="64"/>
      <c r="S56" s="84"/>
      <c r="V56" s="66"/>
      <c r="W56" s="67"/>
      <c r="X56" s="68"/>
    </row>
    <row r="57" spans="1:25" x14ac:dyDescent="0.2">
      <c r="B57" s="117" t="s">
        <v>67</v>
      </c>
      <c r="C57" s="26" t="s">
        <v>68</v>
      </c>
      <c r="D57" s="27" t="s">
        <v>34</v>
      </c>
      <c r="E57" s="118">
        <v>43344</v>
      </c>
      <c r="F57" s="119">
        <v>7205.879698560002</v>
      </c>
      <c r="G57" s="120">
        <f t="shared" ref="G57:G69" si="18">F57/15</f>
        <v>480.39197990400015</v>
      </c>
      <c r="H57" s="121">
        <v>2000</v>
      </c>
      <c r="I57" s="120">
        <f t="shared" ref="I57:I69" si="19">F57/15*O57</f>
        <v>33627.438593280014</v>
      </c>
      <c r="J57" s="120">
        <f t="shared" ref="J57:J69" si="20">F57/15*P57</f>
        <v>6917.6445106176025</v>
      </c>
      <c r="K57" s="122"/>
      <c r="L57" s="50"/>
      <c r="M57" s="459">
        <v>6178</v>
      </c>
      <c r="N57" s="33">
        <f>M57*(1+8%)</f>
        <v>6672.2400000000007</v>
      </c>
      <c r="O57" s="34">
        <v>70</v>
      </c>
      <c r="P57" s="34">
        <v>14.4</v>
      </c>
      <c r="Q57" s="51">
        <v>43344</v>
      </c>
      <c r="R57" s="441">
        <v>0</v>
      </c>
      <c r="S57" s="37">
        <f t="shared" ref="S57:S85" si="21">M57*(1+V57)</f>
        <v>6672.2400000000007</v>
      </c>
      <c r="T57" s="38">
        <f>S57/1.08</f>
        <v>6178</v>
      </c>
      <c r="U57" s="38">
        <f>S57/15*5</f>
        <v>2224.08</v>
      </c>
      <c r="V57" s="39">
        <v>0.08</v>
      </c>
      <c r="W57" s="40">
        <v>44377</v>
      </c>
      <c r="X57" s="41">
        <f t="shared" ref="X57:X67" si="22">(YEAR(W57)-YEAR(E57))*12+MONTH(W57)-MONTH(E57)</f>
        <v>33</v>
      </c>
      <c r="Y57" s="42">
        <f t="shared" ref="Y57:Y85" si="23">X57/12</f>
        <v>2.75</v>
      </c>
    </row>
    <row r="58" spans="1:25" x14ac:dyDescent="0.2">
      <c r="A58" s="52"/>
      <c r="B58" s="88" t="s">
        <v>69</v>
      </c>
      <c r="C58" s="89" t="s">
        <v>70</v>
      </c>
      <c r="D58" s="90" t="s">
        <v>30</v>
      </c>
      <c r="E58" s="90" t="s">
        <v>71</v>
      </c>
      <c r="F58" s="123">
        <v>4900.9596912000006</v>
      </c>
      <c r="G58" s="124">
        <f t="shared" si="18"/>
        <v>326.73064608000004</v>
      </c>
      <c r="H58" s="124"/>
      <c r="I58" s="124">
        <f t="shared" si="19"/>
        <v>22871.145225600005</v>
      </c>
      <c r="J58" s="124">
        <f t="shared" si="20"/>
        <v>6273.2284047360008</v>
      </c>
      <c r="K58" s="125">
        <f>F58/15*12+R58+R58</f>
        <v>4591.0877529600002</v>
      </c>
      <c r="L58" s="31"/>
      <c r="M58" s="459">
        <v>4202</v>
      </c>
      <c r="N58" s="33">
        <f t="shared" ref="N58:N85" si="24">M58*(1+8%)</f>
        <v>4538.16</v>
      </c>
      <c r="O58" s="34">
        <v>70</v>
      </c>
      <c r="P58" s="34">
        <v>19.2</v>
      </c>
      <c r="Q58" s="126" t="s">
        <v>71</v>
      </c>
      <c r="R58" s="441">
        <v>335.16</v>
      </c>
      <c r="S58" s="37">
        <f t="shared" si="21"/>
        <v>4538.16</v>
      </c>
      <c r="T58" s="38">
        <f t="shared" ref="T58:T85" si="25">S58/1.08</f>
        <v>4202</v>
      </c>
      <c r="U58" s="38">
        <f t="shared" ref="U58:U85" si="26">S58/15*5</f>
        <v>1512.7199999999998</v>
      </c>
      <c r="V58" s="39">
        <v>0.08</v>
      </c>
      <c r="W58" s="40">
        <v>44377</v>
      </c>
      <c r="X58" s="41">
        <f t="shared" si="22"/>
        <v>112</v>
      </c>
      <c r="Y58" s="42">
        <f t="shared" si="23"/>
        <v>9.3333333333333339</v>
      </c>
    </row>
    <row r="59" spans="1:25" x14ac:dyDescent="0.2">
      <c r="B59" s="104" t="s">
        <v>72</v>
      </c>
      <c r="C59" s="89" t="s">
        <v>73</v>
      </c>
      <c r="D59" s="45" t="s">
        <v>30</v>
      </c>
      <c r="E59" s="106">
        <v>43512</v>
      </c>
      <c r="F59" s="86">
        <v>3338.5284000000001</v>
      </c>
      <c r="G59" s="47">
        <f t="shared" si="18"/>
        <v>222.56856000000002</v>
      </c>
      <c r="H59" s="47"/>
      <c r="I59" s="47">
        <f t="shared" si="19"/>
        <v>15579.799200000001</v>
      </c>
      <c r="J59" s="47">
        <f t="shared" si="20"/>
        <v>3204.9872640000003</v>
      </c>
      <c r="K59" s="49"/>
      <c r="L59" s="31"/>
      <c r="M59" s="459">
        <v>2862</v>
      </c>
      <c r="N59" s="33">
        <f>M59*(1+8%)</f>
        <v>3090.96</v>
      </c>
      <c r="O59" s="34">
        <v>70</v>
      </c>
      <c r="P59" s="34">
        <v>14.4</v>
      </c>
      <c r="Q59" s="35">
        <v>43512</v>
      </c>
      <c r="R59" s="441">
        <v>0</v>
      </c>
      <c r="S59" s="37">
        <f t="shared" si="21"/>
        <v>3090.96</v>
      </c>
      <c r="T59" s="38">
        <f t="shared" si="25"/>
        <v>2862</v>
      </c>
      <c r="U59" s="38">
        <f t="shared" si="26"/>
        <v>1030.32</v>
      </c>
      <c r="V59" s="39">
        <v>0.08</v>
      </c>
      <c r="W59" s="40">
        <v>44377</v>
      </c>
      <c r="X59" s="41">
        <f t="shared" si="22"/>
        <v>28</v>
      </c>
      <c r="Y59" s="42">
        <f t="shared" si="23"/>
        <v>2.3333333333333335</v>
      </c>
    </row>
    <row r="60" spans="1:25" x14ac:dyDescent="0.2">
      <c r="B60" s="104" t="s">
        <v>74</v>
      </c>
      <c r="C60" s="89" t="s">
        <v>75</v>
      </c>
      <c r="D60" s="45" t="s">
        <v>51</v>
      </c>
      <c r="E60" s="45" t="s">
        <v>76</v>
      </c>
      <c r="F60" s="86">
        <v>9373.2523358400013</v>
      </c>
      <c r="G60" s="47">
        <f t="shared" si="18"/>
        <v>624.88348905600003</v>
      </c>
      <c r="H60" s="47"/>
      <c r="I60" s="47">
        <f t="shared" si="19"/>
        <v>43741.844233920005</v>
      </c>
      <c r="J60" s="47">
        <f t="shared" si="20"/>
        <v>11997.7629898752</v>
      </c>
      <c r="K60" s="49">
        <f>F60/15*12+R60+R60</f>
        <v>8557.2418686719993</v>
      </c>
      <c r="L60" s="31"/>
      <c r="M60" s="459">
        <v>8036</v>
      </c>
      <c r="N60" s="33">
        <f t="shared" si="24"/>
        <v>8678.880000000001</v>
      </c>
      <c r="O60" s="34">
        <v>70</v>
      </c>
      <c r="P60" s="34">
        <v>19.2</v>
      </c>
      <c r="Q60" s="126" t="s">
        <v>76</v>
      </c>
      <c r="R60" s="441">
        <v>529.32000000000005</v>
      </c>
      <c r="S60" s="37">
        <f t="shared" si="21"/>
        <v>8678.880000000001</v>
      </c>
      <c r="T60" s="38">
        <f t="shared" si="25"/>
        <v>8036</v>
      </c>
      <c r="U60" s="38">
        <f t="shared" si="26"/>
        <v>2892.9600000000005</v>
      </c>
      <c r="V60" s="39">
        <v>0.08</v>
      </c>
      <c r="W60" s="40">
        <v>44377</v>
      </c>
      <c r="X60" s="41">
        <f t="shared" si="22"/>
        <v>233</v>
      </c>
      <c r="Y60" s="42">
        <f t="shared" si="23"/>
        <v>19.416666666666668</v>
      </c>
    </row>
    <row r="61" spans="1:25" x14ac:dyDescent="0.2">
      <c r="B61" s="43" t="s">
        <v>77</v>
      </c>
      <c r="C61" s="89" t="s">
        <v>78</v>
      </c>
      <c r="D61" s="45" t="s">
        <v>34</v>
      </c>
      <c r="E61" s="46">
        <v>43344</v>
      </c>
      <c r="F61" s="86">
        <v>7205.879698560002</v>
      </c>
      <c r="G61" s="32">
        <f t="shared" si="18"/>
        <v>480.39197990400015</v>
      </c>
      <c r="H61" s="127"/>
      <c r="I61" s="32">
        <f t="shared" si="19"/>
        <v>33627.438593280014</v>
      </c>
      <c r="J61" s="32">
        <f t="shared" si="20"/>
        <v>6917.6445106176025</v>
      </c>
      <c r="K61" s="128"/>
      <c r="L61" s="50"/>
      <c r="M61" s="459">
        <v>6178</v>
      </c>
      <c r="N61" s="33">
        <f t="shared" si="24"/>
        <v>6672.2400000000007</v>
      </c>
      <c r="O61" s="34">
        <v>70</v>
      </c>
      <c r="P61" s="34">
        <v>14.4</v>
      </c>
      <c r="Q61" s="51">
        <v>43344</v>
      </c>
      <c r="R61" s="441">
        <v>0</v>
      </c>
      <c r="S61" s="37">
        <f t="shared" si="21"/>
        <v>6672.2400000000007</v>
      </c>
      <c r="T61" s="38">
        <f t="shared" si="25"/>
        <v>6178</v>
      </c>
      <c r="U61" s="38">
        <f t="shared" si="26"/>
        <v>2224.08</v>
      </c>
      <c r="V61" s="39">
        <v>0.08</v>
      </c>
      <c r="W61" s="40">
        <v>44377</v>
      </c>
      <c r="X61" s="41">
        <f t="shared" si="22"/>
        <v>33</v>
      </c>
      <c r="Y61" s="42">
        <f t="shared" si="23"/>
        <v>2.75</v>
      </c>
    </row>
    <row r="62" spans="1:25" x14ac:dyDescent="0.2">
      <c r="B62" s="43" t="s">
        <v>79</v>
      </c>
      <c r="C62" s="89" t="s">
        <v>80</v>
      </c>
      <c r="D62" s="45" t="s">
        <v>34</v>
      </c>
      <c r="E62" s="46">
        <v>43344</v>
      </c>
      <c r="F62" s="86">
        <v>10165.151272320003</v>
      </c>
      <c r="G62" s="47">
        <f t="shared" si="18"/>
        <v>677.67675148800015</v>
      </c>
      <c r="H62" s="48"/>
      <c r="I62" s="47">
        <f t="shared" si="19"/>
        <v>47437.372604160009</v>
      </c>
      <c r="J62" s="47">
        <f t="shared" si="20"/>
        <v>9758.5452214272027</v>
      </c>
      <c r="K62" s="49"/>
      <c r="L62" s="50"/>
      <c r="M62" s="459">
        <v>8715</v>
      </c>
      <c r="N62" s="33">
        <f t="shared" si="24"/>
        <v>9412.2000000000007</v>
      </c>
      <c r="O62" s="34">
        <v>70</v>
      </c>
      <c r="P62" s="34">
        <v>14.4</v>
      </c>
      <c r="Q62" s="51">
        <v>43344</v>
      </c>
      <c r="R62" s="441">
        <v>0</v>
      </c>
      <c r="S62" s="37">
        <f t="shared" si="21"/>
        <v>9412.2000000000007</v>
      </c>
      <c r="T62" s="38">
        <f t="shared" si="25"/>
        <v>8715</v>
      </c>
      <c r="U62" s="38">
        <f t="shared" si="26"/>
        <v>3137.4</v>
      </c>
      <c r="V62" s="39">
        <v>0.08</v>
      </c>
      <c r="W62" s="40">
        <v>44377</v>
      </c>
      <c r="X62" s="41">
        <f t="shared" si="22"/>
        <v>33</v>
      </c>
      <c r="Y62" s="42">
        <f t="shared" si="23"/>
        <v>2.75</v>
      </c>
    </row>
    <row r="63" spans="1:25" x14ac:dyDescent="0.2">
      <c r="B63" s="43" t="s">
        <v>81</v>
      </c>
      <c r="C63" s="89" t="s">
        <v>82</v>
      </c>
      <c r="D63" s="45" t="s">
        <v>34</v>
      </c>
      <c r="E63" s="46">
        <v>43359</v>
      </c>
      <c r="F63" s="86">
        <v>7430.2288070400027</v>
      </c>
      <c r="G63" s="47">
        <f t="shared" si="18"/>
        <v>495.34858713600016</v>
      </c>
      <c r="H63" s="48"/>
      <c r="I63" s="47">
        <f t="shared" si="19"/>
        <v>34674.401099520008</v>
      </c>
      <c r="J63" s="47">
        <f t="shared" si="20"/>
        <v>7133.0196547584028</v>
      </c>
      <c r="K63" s="49"/>
      <c r="L63" s="50"/>
      <c r="M63" s="462">
        <v>8919</v>
      </c>
      <c r="N63" s="87">
        <f t="shared" si="24"/>
        <v>9632.52</v>
      </c>
      <c r="O63" s="34">
        <v>70</v>
      </c>
      <c r="P63" s="34">
        <v>14.4</v>
      </c>
      <c r="Q63" s="51">
        <v>43359</v>
      </c>
      <c r="R63" s="441">
        <v>0</v>
      </c>
      <c r="S63" s="37">
        <f t="shared" si="21"/>
        <v>9632.52</v>
      </c>
      <c r="T63" s="38">
        <f t="shared" si="25"/>
        <v>8919</v>
      </c>
      <c r="U63" s="38">
        <f t="shared" si="26"/>
        <v>3210.84</v>
      </c>
      <c r="V63" s="39">
        <v>0.08</v>
      </c>
      <c r="W63" s="40">
        <v>44377</v>
      </c>
      <c r="X63" s="41">
        <f t="shared" si="22"/>
        <v>33</v>
      </c>
      <c r="Y63" s="42">
        <f t="shared" si="23"/>
        <v>2.75</v>
      </c>
    </row>
    <row r="64" spans="1:25" ht="13.9" customHeight="1" x14ac:dyDescent="0.2">
      <c r="A64" s="52"/>
      <c r="B64" s="43" t="s">
        <v>83</v>
      </c>
      <c r="C64" s="89" t="s">
        <v>84</v>
      </c>
      <c r="D64" s="45" t="s">
        <v>51</v>
      </c>
      <c r="E64" s="46">
        <v>37637</v>
      </c>
      <c r="F64" s="86">
        <v>4346.7639768000008</v>
      </c>
      <c r="G64" s="32">
        <f t="shared" si="18"/>
        <v>289.78426512000004</v>
      </c>
      <c r="H64" s="32"/>
      <c r="I64" s="32">
        <f t="shared" si="19"/>
        <v>20284.898558400004</v>
      </c>
      <c r="J64" s="32">
        <f t="shared" si="20"/>
        <v>5563.8578903040006</v>
      </c>
      <c r="K64" s="128">
        <f>F64/15*12+R64+R64</f>
        <v>4536.0511814400006</v>
      </c>
      <c r="L64" s="129"/>
      <c r="M64" s="459">
        <v>3727</v>
      </c>
      <c r="N64" s="33">
        <f t="shared" si="24"/>
        <v>4025.1600000000003</v>
      </c>
      <c r="O64" s="34">
        <v>70</v>
      </c>
      <c r="P64" s="34">
        <v>19.2</v>
      </c>
      <c r="Q64" s="51">
        <v>37637</v>
      </c>
      <c r="R64" s="441">
        <v>529.32000000000005</v>
      </c>
      <c r="S64" s="37">
        <f t="shared" si="21"/>
        <v>4025.1600000000003</v>
      </c>
      <c r="T64" s="38">
        <f t="shared" si="25"/>
        <v>3727</v>
      </c>
      <c r="U64" s="38">
        <f t="shared" si="26"/>
        <v>1341.72</v>
      </c>
      <c r="V64" s="39">
        <v>0.08</v>
      </c>
      <c r="W64" s="40">
        <v>44377</v>
      </c>
      <c r="X64" s="41">
        <f t="shared" si="22"/>
        <v>221</v>
      </c>
      <c r="Y64" s="42">
        <f t="shared" si="23"/>
        <v>18.416666666666668</v>
      </c>
    </row>
    <row r="65" spans="1:25" ht="13.5" customHeight="1" x14ac:dyDescent="0.2">
      <c r="A65" s="52"/>
      <c r="B65" s="104" t="s">
        <v>85</v>
      </c>
      <c r="C65" s="89" t="s">
        <v>86</v>
      </c>
      <c r="D65" s="45" t="s">
        <v>30</v>
      </c>
      <c r="E65" s="45" t="s">
        <v>87</v>
      </c>
      <c r="F65" s="86">
        <v>3314.490995520001</v>
      </c>
      <c r="G65" s="47">
        <f t="shared" si="18"/>
        <v>220.96606636800007</v>
      </c>
      <c r="H65" s="47"/>
      <c r="I65" s="47">
        <f t="shared" si="19"/>
        <v>15467.624645760005</v>
      </c>
      <c r="J65" s="47">
        <f t="shared" si="20"/>
        <v>4242.5484742656008</v>
      </c>
      <c r="K65" s="49">
        <f>F65/15*12+R65+R65</f>
        <v>3321.9127964160007</v>
      </c>
      <c r="L65" s="31"/>
      <c r="M65" s="459">
        <v>2842</v>
      </c>
      <c r="N65" s="33">
        <f t="shared" si="24"/>
        <v>3069.36</v>
      </c>
      <c r="O65" s="34">
        <v>70</v>
      </c>
      <c r="P65" s="34">
        <v>19.2</v>
      </c>
      <c r="Q65" s="126" t="s">
        <v>87</v>
      </c>
      <c r="R65" s="441">
        <v>335.16</v>
      </c>
      <c r="S65" s="37">
        <f t="shared" si="21"/>
        <v>3069.36</v>
      </c>
      <c r="T65" s="38">
        <f t="shared" si="25"/>
        <v>2842</v>
      </c>
      <c r="U65" s="38">
        <f t="shared" si="26"/>
        <v>1023.12</v>
      </c>
      <c r="V65" s="39">
        <v>0.08</v>
      </c>
      <c r="W65" s="40">
        <v>44377</v>
      </c>
      <c r="X65" s="41">
        <f t="shared" si="22"/>
        <v>68</v>
      </c>
      <c r="Y65" s="42">
        <f t="shared" si="23"/>
        <v>5.666666666666667</v>
      </c>
    </row>
    <row r="66" spans="1:25" s="130" customFormat="1" x14ac:dyDescent="0.2">
      <c r="B66" s="131" t="s">
        <v>88</v>
      </c>
      <c r="C66" s="132" t="s">
        <v>89</v>
      </c>
      <c r="D66" s="133" t="s">
        <v>30</v>
      </c>
      <c r="E66" s="134">
        <v>43344</v>
      </c>
      <c r="F66" s="135">
        <v>5341.6454400000011</v>
      </c>
      <c r="G66" s="136">
        <f t="shared" si="18"/>
        <v>356.1096960000001</v>
      </c>
      <c r="H66" s="136"/>
      <c r="I66" s="136">
        <v>21066.16</v>
      </c>
      <c r="J66" s="136">
        <v>4396.4160000000002</v>
      </c>
      <c r="K66" s="137"/>
      <c r="L66" s="138"/>
      <c r="M66" s="459">
        <v>4580</v>
      </c>
      <c r="N66" s="139">
        <f t="shared" si="24"/>
        <v>4946.4000000000005</v>
      </c>
      <c r="O66" s="34">
        <v>70</v>
      </c>
      <c r="P66" s="140">
        <v>14.4</v>
      </c>
      <c r="Q66" s="134">
        <v>43344</v>
      </c>
      <c r="R66" s="442">
        <v>0</v>
      </c>
      <c r="S66" s="37">
        <f t="shared" si="21"/>
        <v>4946.4000000000005</v>
      </c>
      <c r="T66" s="38">
        <f t="shared" si="25"/>
        <v>4580</v>
      </c>
      <c r="U66" s="38">
        <f t="shared" si="26"/>
        <v>1648.8000000000002</v>
      </c>
      <c r="V66" s="143">
        <v>0.08</v>
      </c>
      <c r="W66" s="144">
        <v>44377</v>
      </c>
      <c r="X66" s="145">
        <f t="shared" si="22"/>
        <v>33</v>
      </c>
      <c r="Y66" s="146">
        <f t="shared" si="23"/>
        <v>2.75</v>
      </c>
    </row>
    <row r="67" spans="1:25" s="130" customFormat="1" ht="13.5" customHeight="1" x14ac:dyDescent="0.2">
      <c r="A67" s="130" t="s">
        <v>90</v>
      </c>
      <c r="B67" s="131" t="s">
        <v>91</v>
      </c>
      <c r="C67" s="132" t="s">
        <v>86</v>
      </c>
      <c r="D67" s="133" t="s">
        <v>30</v>
      </c>
      <c r="E67" s="133" t="s">
        <v>92</v>
      </c>
      <c r="F67" s="135">
        <v>6629.6309760000013</v>
      </c>
      <c r="G67" s="147">
        <f t="shared" si="18"/>
        <v>441.97539840000007</v>
      </c>
      <c r="H67" s="147"/>
      <c r="I67" s="147">
        <f t="shared" si="19"/>
        <v>30938.277888000004</v>
      </c>
      <c r="J67" s="147">
        <f t="shared" si="20"/>
        <v>6364.4457369600013</v>
      </c>
      <c r="K67" s="148"/>
      <c r="L67" s="138"/>
      <c r="M67" s="459">
        <v>2842</v>
      </c>
      <c r="N67" s="139">
        <f t="shared" si="24"/>
        <v>3069.36</v>
      </c>
      <c r="O67" s="34">
        <v>70</v>
      </c>
      <c r="P67" s="140">
        <v>14.4</v>
      </c>
      <c r="Q67" s="133" t="s">
        <v>92</v>
      </c>
      <c r="R67" s="442">
        <v>0</v>
      </c>
      <c r="S67" s="37">
        <f t="shared" si="21"/>
        <v>3069.36</v>
      </c>
      <c r="T67" s="38">
        <f t="shared" si="25"/>
        <v>2842</v>
      </c>
      <c r="U67" s="38">
        <f t="shared" si="26"/>
        <v>1023.12</v>
      </c>
      <c r="V67" s="143">
        <v>0.08</v>
      </c>
      <c r="W67" s="144">
        <v>44377</v>
      </c>
      <c r="X67" s="145">
        <f t="shared" si="22"/>
        <v>23</v>
      </c>
      <c r="Y67" s="146">
        <f t="shared" si="23"/>
        <v>1.9166666666666667</v>
      </c>
    </row>
    <row r="68" spans="1:25" s="149" customFormat="1" ht="13.5" customHeight="1" x14ac:dyDescent="0.2">
      <c r="A68" s="149" t="s">
        <v>90</v>
      </c>
      <c r="B68" s="150" t="s">
        <v>93</v>
      </c>
      <c r="C68" s="151" t="s">
        <v>94</v>
      </c>
      <c r="D68" s="152" t="s">
        <v>34</v>
      </c>
      <c r="E68" s="152" t="s">
        <v>95</v>
      </c>
      <c r="F68" s="153">
        <v>6734.7936000000009</v>
      </c>
      <c r="G68" s="154">
        <f>F68/15</f>
        <v>448.98624000000007</v>
      </c>
      <c r="H68" s="154"/>
      <c r="I68" s="154">
        <f t="shared" si="19"/>
        <v>31429.036800000005</v>
      </c>
      <c r="J68" s="154">
        <f t="shared" si="20"/>
        <v>6465.4018560000013</v>
      </c>
      <c r="K68" s="155"/>
      <c r="L68" s="156"/>
      <c r="M68" s="459">
        <v>5774</v>
      </c>
      <c r="N68" s="158">
        <f t="shared" si="24"/>
        <v>6235.92</v>
      </c>
      <c r="O68" s="34">
        <v>70</v>
      </c>
      <c r="P68" s="439">
        <v>14.4</v>
      </c>
      <c r="Q68" s="152" t="s">
        <v>95</v>
      </c>
      <c r="R68" s="443">
        <v>0</v>
      </c>
      <c r="S68" s="37">
        <f t="shared" si="21"/>
        <v>6235.92</v>
      </c>
      <c r="T68" s="38">
        <f t="shared" si="25"/>
        <v>5774</v>
      </c>
      <c r="U68" s="38">
        <f t="shared" si="26"/>
        <v>2078.64</v>
      </c>
      <c r="V68" s="160">
        <v>0.08</v>
      </c>
      <c r="W68" s="161">
        <v>44377</v>
      </c>
      <c r="X68" s="162" t="s">
        <v>96</v>
      </c>
      <c r="Y68" s="163">
        <f t="shared" si="23"/>
        <v>0.5</v>
      </c>
    </row>
    <row r="69" spans="1:25" x14ac:dyDescent="0.2">
      <c r="B69" s="43" t="s">
        <v>97</v>
      </c>
      <c r="C69" s="89" t="s">
        <v>98</v>
      </c>
      <c r="D69" s="45" t="s">
        <v>34</v>
      </c>
      <c r="E69" s="46">
        <v>43344</v>
      </c>
      <c r="F69" s="86">
        <v>8024.4868622400018</v>
      </c>
      <c r="G69" s="47">
        <f t="shared" si="18"/>
        <v>534.96579081600009</v>
      </c>
      <c r="H69" s="48">
        <v>2000</v>
      </c>
      <c r="I69" s="47">
        <f t="shared" si="19"/>
        <v>37447.60535712001</v>
      </c>
      <c r="J69" s="47">
        <f t="shared" si="20"/>
        <v>7703.5073877504019</v>
      </c>
      <c r="K69" s="49"/>
      <c r="L69" s="50"/>
      <c r="M69" s="459">
        <v>6880</v>
      </c>
      <c r="N69" s="33">
        <f t="shared" si="24"/>
        <v>7430.4000000000005</v>
      </c>
      <c r="O69" s="34">
        <v>70</v>
      </c>
      <c r="P69" s="34">
        <v>14.4</v>
      </c>
      <c r="Q69" s="51">
        <v>43344</v>
      </c>
      <c r="R69" s="441">
        <v>0</v>
      </c>
      <c r="S69" s="37">
        <f t="shared" si="21"/>
        <v>7430.4000000000005</v>
      </c>
      <c r="T69" s="38">
        <f t="shared" si="25"/>
        <v>6880</v>
      </c>
      <c r="U69" s="38">
        <f t="shared" si="26"/>
        <v>2476.8000000000002</v>
      </c>
      <c r="V69" s="39">
        <v>0.08</v>
      </c>
      <c r="W69" s="40">
        <v>44377</v>
      </c>
      <c r="X69" s="41">
        <f t="shared" ref="X69:X85" si="27">(YEAR(W69)-YEAR(E69))*12+MONTH(W69)-MONTH(E69)</f>
        <v>33</v>
      </c>
      <c r="Y69" s="42">
        <f t="shared" si="23"/>
        <v>2.75</v>
      </c>
    </row>
    <row r="70" spans="1:25" s="130" customFormat="1" x14ac:dyDescent="0.2">
      <c r="A70" s="130" t="s">
        <v>90</v>
      </c>
      <c r="B70" s="440" t="s">
        <v>640</v>
      </c>
      <c r="C70" s="165" t="s">
        <v>61</v>
      </c>
      <c r="D70" s="133" t="s">
        <v>30</v>
      </c>
      <c r="E70" s="166">
        <v>43983</v>
      </c>
      <c r="F70" s="135">
        <v>4000</v>
      </c>
      <c r="G70" s="147">
        <f t="shared" ref="G70" si="28">F70/15</f>
        <v>266.66666666666669</v>
      </c>
      <c r="H70" s="167">
        <v>0</v>
      </c>
      <c r="I70" s="147">
        <f t="shared" ref="I70" si="29">F70/15*O70</f>
        <v>18666.666666666668</v>
      </c>
      <c r="J70" s="147">
        <f t="shared" ref="J70" si="30">F70/15*P70</f>
        <v>3840.0000000000005</v>
      </c>
      <c r="K70" s="148"/>
      <c r="L70" s="341"/>
      <c r="M70" s="462">
        <v>4000</v>
      </c>
      <c r="N70" s="168">
        <f t="shared" ref="N70" si="31">M70*(1+8%)</f>
        <v>4320</v>
      </c>
      <c r="O70" s="34">
        <v>70</v>
      </c>
      <c r="P70" s="140">
        <v>14.4</v>
      </c>
      <c r="Q70" s="166">
        <v>43344</v>
      </c>
      <c r="R70" s="442">
        <v>0</v>
      </c>
      <c r="S70" s="37">
        <f t="shared" ref="S70" si="32">M70*(1+V70)</f>
        <v>4320</v>
      </c>
      <c r="T70" s="38">
        <f t="shared" ref="T70" si="33">S70/1.08</f>
        <v>3999.9999999999995</v>
      </c>
      <c r="U70" s="38">
        <f t="shared" ref="U70" si="34">S70/15*5</f>
        <v>1440</v>
      </c>
      <c r="V70" s="143">
        <v>0.08</v>
      </c>
      <c r="W70" s="144">
        <v>44377</v>
      </c>
      <c r="X70" s="145">
        <f t="shared" ref="X70" si="35">(YEAR(W70)-YEAR(E70))*12+MONTH(W70)-MONTH(E70)</f>
        <v>12</v>
      </c>
      <c r="Y70" s="146">
        <f t="shared" ref="Y70" si="36">X70/12</f>
        <v>1</v>
      </c>
    </row>
    <row r="71" spans="1:25" x14ac:dyDescent="0.2">
      <c r="A71" s="52"/>
      <c r="B71" s="104" t="s">
        <v>99</v>
      </c>
      <c r="C71" s="89" t="s">
        <v>61</v>
      </c>
      <c r="D71" s="45" t="s">
        <v>30</v>
      </c>
      <c r="E71" s="45" t="s">
        <v>100</v>
      </c>
      <c r="F71" s="86">
        <v>5943.9159633600011</v>
      </c>
      <c r="G71" s="47">
        <f>F71/15</f>
        <v>396.26106422400005</v>
      </c>
      <c r="H71" s="47"/>
      <c r="I71" s="47">
        <v>10720.698666666669</v>
      </c>
      <c r="J71" s="47">
        <v>2081.0768000000003</v>
      </c>
      <c r="K71" s="49">
        <v>0</v>
      </c>
      <c r="L71" s="31"/>
      <c r="M71" s="459">
        <v>5096</v>
      </c>
      <c r="N71" s="33">
        <f t="shared" si="24"/>
        <v>5503.68</v>
      </c>
      <c r="O71" s="34">
        <v>70</v>
      </c>
      <c r="P71" s="34">
        <v>14.4</v>
      </c>
      <c r="Q71" s="126" t="s">
        <v>100</v>
      </c>
      <c r="R71" s="441">
        <v>0</v>
      </c>
      <c r="S71" s="37">
        <f t="shared" si="21"/>
        <v>5503.68</v>
      </c>
      <c r="T71" s="38">
        <f t="shared" si="25"/>
        <v>5096</v>
      </c>
      <c r="U71" s="38">
        <f t="shared" si="26"/>
        <v>1834.5600000000002</v>
      </c>
      <c r="V71" s="39">
        <v>0.08</v>
      </c>
      <c r="W71" s="40">
        <v>44377</v>
      </c>
      <c r="X71" s="41">
        <f t="shared" si="27"/>
        <v>33</v>
      </c>
      <c r="Y71" s="42">
        <f t="shared" si="23"/>
        <v>2.75</v>
      </c>
    </row>
    <row r="72" spans="1:25" x14ac:dyDescent="0.2">
      <c r="B72" s="164" t="s">
        <v>101</v>
      </c>
      <c r="C72" s="89" t="s">
        <v>102</v>
      </c>
      <c r="D72" s="45" t="s">
        <v>30</v>
      </c>
      <c r="E72" s="46">
        <v>43359</v>
      </c>
      <c r="F72" s="86">
        <v>5341.6454400000011</v>
      </c>
      <c r="G72" s="47">
        <f>F72/15</f>
        <v>356.1096960000001</v>
      </c>
      <c r="H72" s="48"/>
      <c r="I72" s="47">
        <f t="shared" ref="I72:I85" si="37">F72/15*O72</f>
        <v>24927.678720000007</v>
      </c>
      <c r="J72" s="47">
        <f t="shared" ref="J72:J85" si="38">F72/15*P72</f>
        <v>5127.979622400002</v>
      </c>
      <c r="K72" s="49"/>
      <c r="L72" s="50"/>
      <c r="M72" s="459">
        <v>4580</v>
      </c>
      <c r="N72" s="33">
        <f t="shared" si="24"/>
        <v>4946.4000000000005</v>
      </c>
      <c r="O72" s="34">
        <v>70</v>
      </c>
      <c r="P72" s="34">
        <v>14.4</v>
      </c>
      <c r="Q72" s="51">
        <v>43359</v>
      </c>
      <c r="R72" s="441">
        <v>0</v>
      </c>
      <c r="S72" s="37">
        <f t="shared" si="21"/>
        <v>4946.4000000000005</v>
      </c>
      <c r="T72" s="38">
        <f t="shared" si="25"/>
        <v>4580</v>
      </c>
      <c r="U72" s="38">
        <f t="shared" si="26"/>
        <v>1648.8000000000002</v>
      </c>
      <c r="V72" s="39">
        <v>0.08</v>
      </c>
      <c r="W72" s="40">
        <v>44377</v>
      </c>
      <c r="X72" s="41">
        <f t="shared" si="27"/>
        <v>33</v>
      </c>
      <c r="Y72" s="42">
        <f t="shared" si="23"/>
        <v>2.75</v>
      </c>
    </row>
    <row r="73" spans="1:25" x14ac:dyDescent="0.2">
      <c r="B73" s="43" t="s">
        <v>103</v>
      </c>
      <c r="C73" s="89" t="s">
        <v>104</v>
      </c>
      <c r="D73" s="45" t="s">
        <v>34</v>
      </c>
      <c r="E73" s="46">
        <v>43344</v>
      </c>
      <c r="F73" s="86">
        <v>7205.879698560002</v>
      </c>
      <c r="G73" s="32">
        <f>F73/15</f>
        <v>480.39197990400015</v>
      </c>
      <c r="H73" s="127"/>
      <c r="I73" s="32">
        <f t="shared" si="37"/>
        <v>33627.438593280014</v>
      </c>
      <c r="J73" s="32">
        <f t="shared" si="38"/>
        <v>6917.6445106176025</v>
      </c>
      <c r="K73" s="128"/>
      <c r="L73" s="50"/>
      <c r="M73" s="459">
        <v>6178</v>
      </c>
      <c r="N73" s="33">
        <f t="shared" si="24"/>
        <v>6672.2400000000007</v>
      </c>
      <c r="O73" s="34">
        <v>70</v>
      </c>
      <c r="P73" s="34">
        <v>14.4</v>
      </c>
      <c r="Q73" s="51">
        <v>43344</v>
      </c>
      <c r="R73" s="441">
        <v>0</v>
      </c>
      <c r="S73" s="37">
        <f t="shared" si="21"/>
        <v>6672.2400000000007</v>
      </c>
      <c r="T73" s="38">
        <f t="shared" si="25"/>
        <v>6178</v>
      </c>
      <c r="U73" s="38">
        <f t="shared" si="26"/>
        <v>2224.08</v>
      </c>
      <c r="V73" s="39">
        <v>0.08</v>
      </c>
      <c r="W73" s="40">
        <v>44377</v>
      </c>
      <c r="X73" s="41">
        <f t="shared" si="27"/>
        <v>33</v>
      </c>
      <c r="Y73" s="42">
        <f t="shared" si="23"/>
        <v>2.75</v>
      </c>
    </row>
    <row r="74" spans="1:25" x14ac:dyDescent="0.2">
      <c r="A74" s="52"/>
      <c r="B74" s="104" t="s">
        <v>105</v>
      </c>
      <c r="C74" s="105" t="s">
        <v>50</v>
      </c>
      <c r="D74" s="45" t="s">
        <v>51</v>
      </c>
      <c r="E74" s="45" t="s">
        <v>106</v>
      </c>
      <c r="F74" s="86">
        <v>4137.1043932800012</v>
      </c>
      <c r="G74" s="47">
        <f t="shared" ref="G74:G85" si="39">F74/15</f>
        <v>275.80695955200008</v>
      </c>
      <c r="H74" s="47"/>
      <c r="I74" s="47">
        <f t="shared" si="37"/>
        <v>19306.487168640007</v>
      </c>
      <c r="J74" s="47">
        <f t="shared" si="38"/>
        <v>5295.4936233984017</v>
      </c>
      <c r="K74" s="49">
        <f>F74/15*12+R74+R74</f>
        <v>4368.3235146240013</v>
      </c>
      <c r="L74" s="31"/>
      <c r="M74" s="459">
        <v>3547</v>
      </c>
      <c r="N74" s="33">
        <f t="shared" si="24"/>
        <v>3830.76</v>
      </c>
      <c r="O74" s="34">
        <v>70</v>
      </c>
      <c r="P74" s="34">
        <v>19.2</v>
      </c>
      <c r="Q74" s="126" t="s">
        <v>106</v>
      </c>
      <c r="R74" s="441">
        <v>529.32000000000005</v>
      </c>
      <c r="S74" s="37">
        <f t="shared" si="21"/>
        <v>3830.76</v>
      </c>
      <c r="T74" s="38">
        <f t="shared" si="25"/>
        <v>3547</v>
      </c>
      <c r="U74" s="38">
        <f t="shared" si="26"/>
        <v>1276.92</v>
      </c>
      <c r="V74" s="39">
        <v>0.08</v>
      </c>
      <c r="W74" s="40">
        <v>44377</v>
      </c>
      <c r="X74" s="41">
        <f t="shared" si="27"/>
        <v>207</v>
      </c>
      <c r="Y74" s="42">
        <f t="shared" si="23"/>
        <v>17.25</v>
      </c>
    </row>
    <row r="75" spans="1:25" x14ac:dyDescent="0.2">
      <c r="B75" s="164" t="s">
        <v>107</v>
      </c>
      <c r="C75" s="44" t="s">
        <v>108</v>
      </c>
      <c r="D75" s="45" t="s">
        <v>30</v>
      </c>
      <c r="E75" s="46">
        <v>43466</v>
      </c>
      <c r="F75" s="86">
        <v>4992.1920000000009</v>
      </c>
      <c r="G75" s="32">
        <f>F75/15</f>
        <v>332.81280000000004</v>
      </c>
      <c r="H75" s="127"/>
      <c r="I75" s="32">
        <f t="shared" si="37"/>
        <v>23296.896000000004</v>
      </c>
      <c r="J75" s="32">
        <f t="shared" si="38"/>
        <v>4792.5043200000009</v>
      </c>
      <c r="K75" s="128"/>
      <c r="L75" s="50"/>
      <c r="M75" s="459">
        <v>4280</v>
      </c>
      <c r="N75" s="33">
        <f t="shared" si="24"/>
        <v>4622.4000000000005</v>
      </c>
      <c r="O75" s="34">
        <v>70</v>
      </c>
      <c r="P75" s="34">
        <v>14.4</v>
      </c>
      <c r="Q75" s="51">
        <v>43466</v>
      </c>
      <c r="R75" s="441">
        <v>0</v>
      </c>
      <c r="S75" s="37">
        <f t="shared" si="21"/>
        <v>4622.4000000000005</v>
      </c>
      <c r="T75" s="38">
        <f t="shared" si="25"/>
        <v>4280</v>
      </c>
      <c r="U75" s="38">
        <f t="shared" si="26"/>
        <v>1540.8000000000002</v>
      </c>
      <c r="V75" s="39">
        <v>0.08</v>
      </c>
      <c r="W75" s="40">
        <v>44377</v>
      </c>
      <c r="X75" s="41">
        <f t="shared" si="27"/>
        <v>29</v>
      </c>
      <c r="Y75" s="42">
        <f t="shared" si="23"/>
        <v>2.4166666666666665</v>
      </c>
    </row>
    <row r="76" spans="1:25" s="130" customFormat="1" x14ac:dyDescent="0.2">
      <c r="A76" s="130" t="s">
        <v>90</v>
      </c>
      <c r="B76" s="440" t="s">
        <v>109</v>
      </c>
      <c r="C76" s="165" t="s">
        <v>110</v>
      </c>
      <c r="D76" s="133" t="s">
        <v>30</v>
      </c>
      <c r="E76" s="166">
        <v>43617</v>
      </c>
      <c r="F76" s="135">
        <v>3744.1440000000002</v>
      </c>
      <c r="G76" s="147">
        <f>F76/15</f>
        <v>249.60960000000003</v>
      </c>
      <c r="H76" s="167"/>
      <c r="I76" s="147">
        <f t="shared" si="37"/>
        <v>17472.672000000002</v>
      </c>
      <c r="J76" s="147">
        <f t="shared" si="38"/>
        <v>3594.3782400000005</v>
      </c>
      <c r="K76" s="148"/>
      <c r="L76" s="341"/>
      <c r="M76" s="462">
        <v>3210</v>
      </c>
      <c r="N76" s="168">
        <f t="shared" si="24"/>
        <v>3466.8</v>
      </c>
      <c r="O76" s="34">
        <v>70</v>
      </c>
      <c r="P76" s="140">
        <v>14.4</v>
      </c>
      <c r="Q76" s="166">
        <v>43617</v>
      </c>
      <c r="R76" s="442">
        <v>0</v>
      </c>
      <c r="S76" s="37">
        <f t="shared" si="21"/>
        <v>3466.8</v>
      </c>
      <c r="T76" s="38">
        <f t="shared" si="25"/>
        <v>3210</v>
      </c>
      <c r="U76" s="38">
        <f t="shared" si="26"/>
        <v>1155.5999999999999</v>
      </c>
      <c r="V76" s="143">
        <v>0.08</v>
      </c>
      <c r="W76" s="144">
        <v>44377</v>
      </c>
      <c r="X76" s="145">
        <f t="shared" si="27"/>
        <v>24</v>
      </c>
      <c r="Y76" s="146">
        <f t="shared" si="23"/>
        <v>2</v>
      </c>
    </row>
    <row r="77" spans="1:25" s="130" customFormat="1" x14ac:dyDescent="0.2">
      <c r="A77" s="130" t="s">
        <v>90</v>
      </c>
      <c r="B77" s="131" t="s">
        <v>111</v>
      </c>
      <c r="C77" s="132" t="s">
        <v>112</v>
      </c>
      <c r="D77" s="133" t="s">
        <v>30</v>
      </c>
      <c r="E77" s="133" t="s">
        <v>113</v>
      </c>
      <c r="F77" s="135">
        <v>5477.4144000000006</v>
      </c>
      <c r="G77" s="147">
        <f t="shared" si="39"/>
        <v>365.16096000000005</v>
      </c>
      <c r="H77" s="147"/>
      <c r="I77" s="147">
        <f t="shared" si="37"/>
        <v>25561.267200000002</v>
      </c>
      <c r="J77" s="147">
        <f t="shared" si="38"/>
        <v>5258.3178240000007</v>
      </c>
      <c r="K77" s="148"/>
      <c r="L77" s="138"/>
      <c r="M77" s="459">
        <v>4696</v>
      </c>
      <c r="N77" s="139">
        <f t="shared" si="24"/>
        <v>5071.68</v>
      </c>
      <c r="O77" s="34">
        <v>70</v>
      </c>
      <c r="P77" s="140">
        <v>14.4</v>
      </c>
      <c r="Q77" s="133" t="s">
        <v>113</v>
      </c>
      <c r="R77" s="442">
        <v>0</v>
      </c>
      <c r="S77" s="37">
        <f t="shared" si="21"/>
        <v>5071.68</v>
      </c>
      <c r="T77" s="38">
        <f t="shared" si="25"/>
        <v>4696</v>
      </c>
      <c r="U77" s="38">
        <f t="shared" si="26"/>
        <v>1690.5600000000002</v>
      </c>
      <c r="V77" s="143">
        <v>0.08</v>
      </c>
      <c r="W77" s="144">
        <v>44377</v>
      </c>
      <c r="X77" s="145">
        <f t="shared" si="27"/>
        <v>22</v>
      </c>
      <c r="Y77" s="146">
        <f t="shared" si="23"/>
        <v>1.8333333333333333</v>
      </c>
    </row>
    <row r="78" spans="1:25" x14ac:dyDescent="0.2">
      <c r="B78" s="164" t="s">
        <v>114</v>
      </c>
      <c r="C78" s="44" t="s">
        <v>115</v>
      </c>
      <c r="D78" s="45" t="s">
        <v>30</v>
      </c>
      <c r="E78" s="46">
        <v>43344</v>
      </c>
      <c r="F78" s="47">
        <v>7205.879698560002</v>
      </c>
      <c r="G78" s="47">
        <f>F78/15</f>
        <v>480.39197990400015</v>
      </c>
      <c r="H78" s="48"/>
      <c r="I78" s="47">
        <f t="shared" si="37"/>
        <v>33627.438593280014</v>
      </c>
      <c r="J78" s="47">
        <f t="shared" si="38"/>
        <v>6917.6445106176025</v>
      </c>
      <c r="K78" s="49"/>
      <c r="L78" s="50"/>
      <c r="M78" s="462">
        <v>6178</v>
      </c>
      <c r="N78" s="87">
        <f t="shared" si="24"/>
        <v>6672.2400000000007</v>
      </c>
      <c r="O78" s="34">
        <v>70</v>
      </c>
      <c r="P78" s="34">
        <v>14.4</v>
      </c>
      <c r="Q78" s="51">
        <v>43344</v>
      </c>
      <c r="R78" s="441">
        <v>0</v>
      </c>
      <c r="S78" s="37">
        <f t="shared" si="21"/>
        <v>6672.2400000000007</v>
      </c>
      <c r="T78" s="38">
        <f t="shared" si="25"/>
        <v>6178</v>
      </c>
      <c r="U78" s="38">
        <f t="shared" si="26"/>
        <v>2224.08</v>
      </c>
      <c r="V78" s="39">
        <v>0.08</v>
      </c>
      <c r="W78" s="40">
        <v>44377</v>
      </c>
      <c r="X78" s="41">
        <f t="shared" si="27"/>
        <v>33</v>
      </c>
      <c r="Y78" s="42">
        <f t="shared" si="23"/>
        <v>2.75</v>
      </c>
    </row>
    <row r="79" spans="1:25" x14ac:dyDescent="0.2">
      <c r="A79" s="52"/>
      <c r="B79" s="104" t="s">
        <v>116</v>
      </c>
      <c r="C79" s="105" t="s">
        <v>86</v>
      </c>
      <c r="D79" s="45" t="s">
        <v>51</v>
      </c>
      <c r="E79" s="45" t="s">
        <v>117</v>
      </c>
      <c r="F79" s="86">
        <v>3514.8026995200012</v>
      </c>
      <c r="G79" s="47">
        <f t="shared" si="39"/>
        <v>234.32017996800008</v>
      </c>
      <c r="H79" s="47"/>
      <c r="I79" s="47">
        <f t="shared" si="37"/>
        <v>16402.412597760005</v>
      </c>
      <c r="J79" s="47">
        <f t="shared" si="38"/>
        <v>4498.9474553856016</v>
      </c>
      <c r="K79" s="49">
        <f>F79/15*12+R79+R79</f>
        <v>4186.4421596160009</v>
      </c>
      <c r="L79" s="31"/>
      <c r="M79" s="459">
        <v>3013</v>
      </c>
      <c r="N79" s="33">
        <f t="shared" si="24"/>
        <v>3254.0400000000004</v>
      </c>
      <c r="O79" s="34">
        <v>70</v>
      </c>
      <c r="P79" s="34">
        <v>19.2</v>
      </c>
      <c r="Q79" s="126" t="s">
        <v>117</v>
      </c>
      <c r="R79" s="441">
        <v>687.3</v>
      </c>
      <c r="S79" s="37">
        <f t="shared" si="21"/>
        <v>3254.0400000000004</v>
      </c>
      <c r="T79" s="38">
        <f t="shared" si="25"/>
        <v>3013</v>
      </c>
      <c r="U79" s="38">
        <f t="shared" si="26"/>
        <v>1084.6800000000003</v>
      </c>
      <c r="V79" s="39">
        <v>0.08</v>
      </c>
      <c r="W79" s="40">
        <v>44377</v>
      </c>
      <c r="X79" s="41">
        <f t="shared" si="27"/>
        <v>276</v>
      </c>
      <c r="Y79" s="42">
        <f t="shared" si="23"/>
        <v>23</v>
      </c>
    </row>
    <row r="80" spans="1:25" x14ac:dyDescent="0.2">
      <c r="B80" s="164" t="s">
        <v>118</v>
      </c>
      <c r="C80" s="44" t="s">
        <v>110</v>
      </c>
      <c r="D80" s="45" t="s">
        <v>30</v>
      </c>
      <c r="E80" s="46">
        <v>43374</v>
      </c>
      <c r="F80" s="86">
        <v>4006.2340800000011</v>
      </c>
      <c r="G80" s="47">
        <f>F80/15</f>
        <v>267.08227200000005</v>
      </c>
      <c r="H80" s="48"/>
      <c r="I80" s="47">
        <f t="shared" si="37"/>
        <v>18695.759040000004</v>
      </c>
      <c r="J80" s="47">
        <f t="shared" si="38"/>
        <v>3845.9847168000006</v>
      </c>
      <c r="K80" s="49"/>
      <c r="L80" s="50"/>
      <c r="M80" s="462">
        <v>3435</v>
      </c>
      <c r="N80" s="87">
        <f t="shared" si="24"/>
        <v>3709.8</v>
      </c>
      <c r="O80" s="34">
        <v>70</v>
      </c>
      <c r="P80" s="34">
        <v>14.4</v>
      </c>
      <c r="Q80" s="51">
        <v>43374</v>
      </c>
      <c r="R80" s="441">
        <v>0</v>
      </c>
      <c r="S80" s="37">
        <f t="shared" si="21"/>
        <v>3709.8</v>
      </c>
      <c r="T80" s="38">
        <f t="shared" si="25"/>
        <v>3435</v>
      </c>
      <c r="U80" s="38">
        <f t="shared" si="26"/>
        <v>1236.6000000000001</v>
      </c>
      <c r="V80" s="39">
        <v>0.08</v>
      </c>
      <c r="W80" s="40">
        <v>44377</v>
      </c>
      <c r="X80" s="41">
        <f t="shared" si="27"/>
        <v>32</v>
      </c>
      <c r="Y80" s="42">
        <f t="shared" si="23"/>
        <v>2.6666666666666665</v>
      </c>
    </row>
    <row r="81" spans="1:26" s="130" customFormat="1" ht="13.5" customHeight="1" x14ac:dyDescent="0.2">
      <c r="A81" s="130" t="s">
        <v>90</v>
      </c>
      <c r="B81" s="131" t="s">
        <v>119</v>
      </c>
      <c r="C81" s="132" t="s">
        <v>120</v>
      </c>
      <c r="D81" s="133" t="s">
        <v>34</v>
      </c>
      <c r="E81" s="134">
        <v>43678</v>
      </c>
      <c r="F81" s="135">
        <v>13374.144770400006</v>
      </c>
      <c r="G81" s="147">
        <f t="shared" si="39"/>
        <v>891.60965136000038</v>
      </c>
      <c r="H81" s="147">
        <v>5000</v>
      </c>
      <c r="I81" s="147">
        <f t="shared" si="37"/>
        <v>62412.675595200024</v>
      </c>
      <c r="J81" s="147">
        <f t="shared" si="38"/>
        <v>12839.178979584005</v>
      </c>
      <c r="K81" s="148">
        <v>0</v>
      </c>
      <c r="L81" s="138"/>
      <c r="M81" s="459">
        <v>10716</v>
      </c>
      <c r="N81" s="139">
        <f t="shared" si="24"/>
        <v>11573.28</v>
      </c>
      <c r="O81" s="34">
        <v>70</v>
      </c>
      <c r="P81" s="140">
        <v>14.4</v>
      </c>
      <c r="Q81" s="134">
        <v>43678</v>
      </c>
      <c r="R81" s="442">
        <v>0</v>
      </c>
      <c r="S81" s="37">
        <f t="shared" si="21"/>
        <v>11573.28</v>
      </c>
      <c r="T81" s="38">
        <f t="shared" si="25"/>
        <v>10716</v>
      </c>
      <c r="U81" s="38">
        <f t="shared" si="26"/>
        <v>3857.76</v>
      </c>
      <c r="V81" s="143">
        <v>0.08</v>
      </c>
      <c r="W81" s="144">
        <v>44377</v>
      </c>
      <c r="X81" s="145">
        <f t="shared" si="27"/>
        <v>22</v>
      </c>
      <c r="Y81" s="146">
        <f t="shared" si="23"/>
        <v>1.8333333333333333</v>
      </c>
    </row>
    <row r="82" spans="1:26" x14ac:dyDescent="0.2">
      <c r="B82" s="43" t="s">
        <v>121</v>
      </c>
      <c r="C82" s="44" t="s">
        <v>122</v>
      </c>
      <c r="D82" s="45" t="s">
        <v>30</v>
      </c>
      <c r="E82" s="46">
        <v>43344</v>
      </c>
      <c r="F82" s="86">
        <v>7430.2288070400027</v>
      </c>
      <c r="G82" s="47">
        <f>F82/15</f>
        <v>495.34858713600016</v>
      </c>
      <c r="H82" s="48"/>
      <c r="I82" s="47">
        <f t="shared" si="37"/>
        <v>34674.401099520008</v>
      </c>
      <c r="J82" s="47">
        <f t="shared" si="38"/>
        <v>7133.0196547584028</v>
      </c>
      <c r="K82" s="49"/>
      <c r="L82" s="50"/>
      <c r="M82" s="459">
        <v>6370</v>
      </c>
      <c r="N82" s="33">
        <f t="shared" si="24"/>
        <v>6879.6</v>
      </c>
      <c r="O82" s="34">
        <v>70</v>
      </c>
      <c r="P82" s="34">
        <v>14.4</v>
      </c>
      <c r="Q82" s="51">
        <v>43344</v>
      </c>
      <c r="R82" s="441">
        <v>0</v>
      </c>
      <c r="S82" s="37">
        <f t="shared" si="21"/>
        <v>6879.6</v>
      </c>
      <c r="T82" s="38">
        <f t="shared" si="25"/>
        <v>6370</v>
      </c>
      <c r="U82" s="38">
        <f t="shared" si="26"/>
        <v>2293.2000000000003</v>
      </c>
      <c r="V82" s="39">
        <v>0.08</v>
      </c>
      <c r="W82" s="40">
        <v>44377</v>
      </c>
      <c r="X82" s="41">
        <f t="shared" si="27"/>
        <v>33</v>
      </c>
      <c r="Y82" s="42">
        <f t="shared" si="23"/>
        <v>2.75</v>
      </c>
    </row>
    <row r="83" spans="1:26" x14ac:dyDescent="0.2">
      <c r="A83" s="52"/>
      <c r="B83" s="104" t="s">
        <v>123</v>
      </c>
      <c r="C83" s="105" t="s">
        <v>86</v>
      </c>
      <c r="D83" s="45" t="s">
        <v>30</v>
      </c>
      <c r="E83" s="45" t="s">
        <v>71</v>
      </c>
      <c r="F83" s="86">
        <v>3514.8026995200012</v>
      </c>
      <c r="G83" s="47">
        <f t="shared" si="39"/>
        <v>234.32017996800008</v>
      </c>
      <c r="H83" s="47"/>
      <c r="I83" s="47">
        <f t="shared" si="37"/>
        <v>16402.412597760005</v>
      </c>
      <c r="J83" s="47">
        <f t="shared" si="38"/>
        <v>4498.9474553856016</v>
      </c>
      <c r="K83" s="49">
        <f>F83/15*12+R83+R83</f>
        <v>3482.1621596160007</v>
      </c>
      <c r="L83" s="31"/>
      <c r="M83" s="459">
        <v>3013</v>
      </c>
      <c r="N83" s="33">
        <f t="shared" si="24"/>
        <v>3254.0400000000004</v>
      </c>
      <c r="O83" s="34">
        <v>70</v>
      </c>
      <c r="P83" s="34">
        <v>19.2</v>
      </c>
      <c r="Q83" s="126" t="s">
        <v>71</v>
      </c>
      <c r="R83" s="441">
        <v>335.16</v>
      </c>
      <c r="S83" s="37">
        <f t="shared" si="21"/>
        <v>3254.0400000000004</v>
      </c>
      <c r="T83" s="38">
        <f t="shared" si="25"/>
        <v>3013</v>
      </c>
      <c r="U83" s="38">
        <f t="shared" si="26"/>
        <v>1084.6800000000003</v>
      </c>
      <c r="V83" s="39">
        <v>0.08</v>
      </c>
      <c r="W83" s="40">
        <v>44377</v>
      </c>
      <c r="X83" s="41">
        <f t="shared" si="27"/>
        <v>112</v>
      </c>
      <c r="Y83" s="42">
        <f t="shared" si="23"/>
        <v>9.3333333333333339</v>
      </c>
    </row>
    <row r="84" spans="1:26" x14ac:dyDescent="0.2">
      <c r="A84" s="52"/>
      <c r="B84" s="104" t="s">
        <v>124</v>
      </c>
      <c r="C84" s="105" t="s">
        <v>86</v>
      </c>
      <c r="D84" s="45" t="s">
        <v>51</v>
      </c>
      <c r="E84" s="45" t="s">
        <v>125</v>
      </c>
      <c r="F84" s="86">
        <v>3254.0400000000004</v>
      </c>
      <c r="G84" s="47">
        <f t="shared" si="39"/>
        <v>216.93600000000004</v>
      </c>
      <c r="H84" s="47"/>
      <c r="I84" s="47">
        <f t="shared" si="37"/>
        <v>15185.520000000002</v>
      </c>
      <c r="J84" s="47">
        <f t="shared" si="38"/>
        <v>4165.1712000000007</v>
      </c>
      <c r="K84" s="49">
        <f>F84/15*12+R84+R84</f>
        <v>3977.8320000000003</v>
      </c>
      <c r="L84" s="31"/>
      <c r="M84" s="459">
        <v>3013</v>
      </c>
      <c r="N84" s="33">
        <f t="shared" si="24"/>
        <v>3254.0400000000004</v>
      </c>
      <c r="O84" s="34">
        <v>70</v>
      </c>
      <c r="P84" s="34">
        <v>19.2</v>
      </c>
      <c r="Q84" s="126" t="s">
        <v>125</v>
      </c>
      <c r="R84" s="441">
        <v>687.3</v>
      </c>
      <c r="S84" s="37">
        <f t="shared" si="21"/>
        <v>3254.0400000000004</v>
      </c>
      <c r="T84" s="38">
        <f t="shared" si="25"/>
        <v>3013</v>
      </c>
      <c r="U84" s="38">
        <f t="shared" si="26"/>
        <v>1084.6800000000003</v>
      </c>
      <c r="V84" s="39">
        <v>0.08</v>
      </c>
      <c r="W84" s="40">
        <v>44377</v>
      </c>
      <c r="X84" s="41">
        <f t="shared" si="27"/>
        <v>292</v>
      </c>
      <c r="Y84" s="42">
        <f t="shared" si="23"/>
        <v>24.333333333333332</v>
      </c>
    </row>
    <row r="85" spans="1:26" ht="12.75" customHeight="1" thickBot="1" x14ac:dyDescent="0.25">
      <c r="A85" s="52"/>
      <c r="B85" s="108" t="s">
        <v>126</v>
      </c>
      <c r="C85" s="109" t="s">
        <v>127</v>
      </c>
      <c r="D85" s="55" t="s">
        <v>30</v>
      </c>
      <c r="E85" s="55" t="s">
        <v>128</v>
      </c>
      <c r="F85" s="169">
        <v>4302.72</v>
      </c>
      <c r="G85" s="57">
        <f t="shared" si="39"/>
        <v>286.84800000000001</v>
      </c>
      <c r="H85" s="57"/>
      <c r="I85" s="57">
        <f t="shared" si="37"/>
        <v>20079.36</v>
      </c>
      <c r="J85" s="57">
        <f t="shared" si="38"/>
        <v>5507.4816000000001</v>
      </c>
      <c r="K85" s="58">
        <f>F85/15*12+R85+R85</f>
        <v>4112.4960000000001</v>
      </c>
      <c r="L85" s="31"/>
      <c r="M85" s="459">
        <v>3984</v>
      </c>
      <c r="N85" s="33">
        <f t="shared" si="24"/>
        <v>4302.72</v>
      </c>
      <c r="O85" s="34">
        <v>70</v>
      </c>
      <c r="P85" s="34">
        <v>19.2</v>
      </c>
      <c r="Q85" s="126" t="s">
        <v>128</v>
      </c>
      <c r="R85" s="441">
        <v>335.16</v>
      </c>
      <c r="S85" s="37">
        <f t="shared" si="21"/>
        <v>4302.72</v>
      </c>
      <c r="T85" s="38">
        <f t="shared" si="25"/>
        <v>3984</v>
      </c>
      <c r="U85" s="38">
        <f t="shared" si="26"/>
        <v>1434.24</v>
      </c>
      <c r="V85" s="39">
        <v>0.08</v>
      </c>
      <c r="W85" s="40">
        <v>44377</v>
      </c>
      <c r="X85" s="41">
        <f t="shared" si="27"/>
        <v>112</v>
      </c>
      <c r="Y85" s="42">
        <f t="shared" si="23"/>
        <v>9.3333333333333339</v>
      </c>
    </row>
    <row r="86" spans="1:26" ht="13.5" thickBot="1" x14ac:dyDescent="0.25">
      <c r="B86" s="110"/>
      <c r="C86" s="110"/>
      <c r="D86" s="111"/>
      <c r="E86" s="112"/>
      <c r="F86" s="113"/>
      <c r="G86" s="113"/>
      <c r="H86" s="113"/>
      <c r="I86" s="113"/>
      <c r="J86" s="113"/>
      <c r="K86" s="114"/>
      <c r="L86" s="31"/>
      <c r="M86" s="84"/>
      <c r="N86" s="64"/>
      <c r="Q86" s="112"/>
      <c r="S86" s="84"/>
      <c r="U86" s="5"/>
      <c r="V86" s="66"/>
      <c r="W86" s="67"/>
      <c r="X86" s="68"/>
    </row>
    <row r="87" spans="1:26" ht="13.5" thickBot="1" x14ac:dyDescent="0.25">
      <c r="B87" s="69" t="s">
        <v>39</v>
      </c>
      <c r="C87" s="69" t="s">
        <v>40</v>
      </c>
      <c r="E87" s="170" t="s">
        <v>41</v>
      </c>
      <c r="F87" s="171">
        <f t="shared" ref="F87:K87" si="40">SUM(F57:F85)</f>
        <v>171456.84040432001</v>
      </c>
      <c r="G87" s="171">
        <f t="shared" si="40"/>
        <v>11430.456026954669</v>
      </c>
      <c r="H87" s="171">
        <f t="shared" si="40"/>
        <v>9000</v>
      </c>
      <c r="I87" s="171">
        <f t="shared" si="40"/>
        <v>779252.82733781356</v>
      </c>
      <c r="J87" s="171">
        <f t="shared" si="40"/>
        <v>173252.78041425926</v>
      </c>
      <c r="K87" s="171">
        <f t="shared" si="40"/>
        <v>41133.549433344007</v>
      </c>
      <c r="L87" s="73"/>
      <c r="M87" s="5" t="s">
        <v>42</v>
      </c>
      <c r="N87" s="446"/>
      <c r="S87" s="84"/>
      <c r="V87" s="66"/>
      <c r="W87" s="67"/>
      <c r="X87" s="68"/>
      <c r="Z87" s="172"/>
    </row>
    <row r="88" spans="1:26" ht="19.5" customHeight="1" thickBot="1" x14ac:dyDescent="0.25">
      <c r="B88" s="69" t="s">
        <v>43</v>
      </c>
      <c r="C88" s="69" t="s">
        <v>44</v>
      </c>
      <c r="E88" s="173" t="s">
        <v>46</v>
      </c>
      <c r="F88" s="174">
        <f>F87*24</f>
        <v>4114964.1697036801</v>
      </c>
      <c r="G88" s="174">
        <f>G87*5</f>
        <v>57152.280134773348</v>
      </c>
      <c r="H88" s="174">
        <f>H87*24</f>
        <v>216000</v>
      </c>
      <c r="I88" s="174">
        <f>I87</f>
        <v>779252.82733781356</v>
      </c>
      <c r="J88" s="174">
        <f>J87</f>
        <v>173252.78041425926</v>
      </c>
      <c r="K88" s="175">
        <f>K87</f>
        <v>41133.549433344007</v>
      </c>
      <c r="L88" s="73"/>
      <c r="M88" s="77">
        <f>SUM(F88:K88)</f>
        <v>5381755.6070238706</v>
      </c>
      <c r="N88" s="78"/>
      <c r="O88" s="80"/>
      <c r="P88" s="80"/>
      <c r="Q88" s="176"/>
      <c r="R88" s="81">
        <f>SUM(R57:R87)</f>
        <v>4303.2</v>
      </c>
      <c r="S88" s="103">
        <f>M88*(1+V88)</f>
        <v>5381755.6070238706</v>
      </c>
      <c r="T88" s="77"/>
      <c r="U88" s="445">
        <f>SUM(U57:U85)</f>
        <v>52935.839999999989</v>
      </c>
      <c r="V88" s="82">
        <v>0</v>
      </c>
      <c r="W88" s="83"/>
      <c r="X88" s="178"/>
      <c r="Y88" s="179"/>
      <c r="Z88" s="172"/>
    </row>
    <row r="89" spans="1:26" x14ac:dyDescent="0.2">
      <c r="B89" s="69"/>
      <c r="N89" s="64"/>
      <c r="S89" s="84"/>
      <c r="V89" s="66"/>
      <c r="W89" s="67"/>
      <c r="X89" s="68"/>
    </row>
    <row r="90" spans="1:26" ht="15" x14ac:dyDescent="0.25">
      <c r="B90" s="13"/>
      <c r="C90" s="13"/>
      <c r="D90" s="13" t="s">
        <v>639</v>
      </c>
      <c r="E90" s="13"/>
      <c r="F90" s="13"/>
      <c r="G90" s="13"/>
      <c r="H90" s="13"/>
      <c r="I90" s="14"/>
      <c r="J90" s="13"/>
      <c r="K90" s="13"/>
      <c r="L90" s="15"/>
      <c r="N90" s="64"/>
      <c r="S90" s="84"/>
      <c r="V90" s="66"/>
      <c r="W90" s="67"/>
      <c r="X90" s="68"/>
    </row>
    <row r="91" spans="1:26" ht="15" x14ac:dyDescent="0.25">
      <c r="B91" s="16" t="s">
        <v>4</v>
      </c>
      <c r="C91" s="16"/>
      <c r="D91" s="475" t="s">
        <v>129</v>
      </c>
      <c r="E91" s="475"/>
      <c r="F91" s="14"/>
      <c r="G91" s="14"/>
      <c r="H91" s="476"/>
      <c r="I91" s="476"/>
      <c r="J91" s="14"/>
      <c r="K91" s="17"/>
      <c r="L91" s="18"/>
      <c r="N91" s="64"/>
      <c r="S91" s="84"/>
      <c r="V91" s="66"/>
      <c r="W91" s="67"/>
      <c r="X91" s="68"/>
    </row>
    <row r="92" spans="1:26" ht="14.25" thickBot="1" x14ac:dyDescent="0.25">
      <c r="B92" s="19"/>
      <c r="C92" s="19"/>
      <c r="D92" s="19"/>
      <c r="E92" s="19"/>
      <c r="F92" s="20"/>
      <c r="G92" s="20"/>
      <c r="H92" s="20"/>
      <c r="I92" s="20"/>
      <c r="J92" s="20"/>
      <c r="K92" s="22"/>
      <c r="L92" s="19"/>
      <c r="N92" s="64"/>
      <c r="S92" s="84"/>
      <c r="V92" s="66"/>
      <c r="W92" s="67"/>
      <c r="X92" s="68"/>
    </row>
    <row r="93" spans="1:26" ht="12.75" customHeight="1" x14ac:dyDescent="0.2">
      <c r="B93" s="477" t="s">
        <v>6</v>
      </c>
      <c r="C93" s="479" t="s">
        <v>7</v>
      </c>
      <c r="D93" s="479" t="s">
        <v>8</v>
      </c>
      <c r="E93" s="479" t="s">
        <v>9</v>
      </c>
      <c r="F93" s="481" t="s">
        <v>10</v>
      </c>
      <c r="G93" s="483" t="s">
        <v>11</v>
      </c>
      <c r="H93" s="481" t="s">
        <v>12</v>
      </c>
      <c r="I93" s="479" t="s">
        <v>13</v>
      </c>
      <c r="J93" s="479" t="s">
        <v>14</v>
      </c>
      <c r="K93" s="493" t="s">
        <v>15</v>
      </c>
      <c r="L93" s="23"/>
      <c r="M93" s="495" t="s">
        <v>16</v>
      </c>
      <c r="N93" s="495" t="s">
        <v>17</v>
      </c>
      <c r="O93" s="489" t="s">
        <v>18</v>
      </c>
      <c r="P93" s="489" t="s">
        <v>19</v>
      </c>
      <c r="Q93" s="489" t="s">
        <v>20</v>
      </c>
      <c r="R93" s="490" t="s">
        <v>21</v>
      </c>
      <c r="S93" s="495" t="s">
        <v>22</v>
      </c>
      <c r="T93" s="495" t="s">
        <v>16</v>
      </c>
      <c r="U93" s="498" t="s">
        <v>23</v>
      </c>
      <c r="V93" s="498" t="s">
        <v>24</v>
      </c>
      <c r="W93" s="489" t="s">
        <v>25</v>
      </c>
      <c r="X93" s="489" t="s">
        <v>26</v>
      </c>
      <c r="Y93" s="497" t="s">
        <v>27</v>
      </c>
    </row>
    <row r="94" spans="1:26" ht="13.5" customHeight="1" thickBot="1" x14ac:dyDescent="0.25">
      <c r="B94" s="478"/>
      <c r="C94" s="480"/>
      <c r="D94" s="480"/>
      <c r="E94" s="480"/>
      <c r="F94" s="482"/>
      <c r="G94" s="484"/>
      <c r="H94" s="482"/>
      <c r="I94" s="480"/>
      <c r="J94" s="480"/>
      <c r="K94" s="494"/>
      <c r="L94" s="23"/>
      <c r="M94" s="495"/>
      <c r="N94" s="495"/>
      <c r="O94" s="489"/>
      <c r="P94" s="489"/>
      <c r="Q94" s="489"/>
      <c r="R94" s="490"/>
      <c r="S94" s="495"/>
      <c r="T94" s="495"/>
      <c r="U94" s="498"/>
      <c r="V94" s="498"/>
      <c r="W94" s="489"/>
      <c r="X94" s="489"/>
      <c r="Y94" s="497"/>
    </row>
    <row r="95" spans="1:26" ht="13.5" thickBot="1" x14ac:dyDescent="0.25">
      <c r="B95" s="97"/>
      <c r="C95" s="97"/>
      <c r="D95" s="98"/>
      <c r="E95" s="97"/>
      <c r="F95" s="98"/>
      <c r="G95" s="98"/>
      <c r="H95" s="98"/>
      <c r="I95" s="98"/>
      <c r="J95" s="98"/>
      <c r="K95" s="180"/>
      <c r="N95" s="64"/>
      <c r="S95" s="84"/>
      <c r="V95" s="66"/>
      <c r="W95" s="67"/>
      <c r="X95" s="68"/>
    </row>
    <row r="96" spans="1:26" ht="13.15" customHeight="1" x14ac:dyDescent="0.2">
      <c r="B96" s="25" t="s">
        <v>130</v>
      </c>
      <c r="C96" s="26" t="s">
        <v>131</v>
      </c>
      <c r="D96" s="27" t="s">
        <v>30</v>
      </c>
      <c r="E96" s="28">
        <v>43344</v>
      </c>
      <c r="F96" s="29">
        <v>5564.2140000000009</v>
      </c>
      <c r="G96" s="29">
        <f t="shared" ref="G96:G109" si="41">F96/15</f>
        <v>370.94760000000008</v>
      </c>
      <c r="H96" s="29"/>
      <c r="I96" s="29">
        <f t="shared" ref="I96:I109" si="42">F96/15*O96</f>
        <v>25966.332000000006</v>
      </c>
      <c r="J96" s="29">
        <f t="shared" ref="J96:J109" si="43">F96/15*P96</f>
        <v>5341.6454400000011</v>
      </c>
      <c r="K96" s="30">
        <v>0</v>
      </c>
      <c r="M96" s="453">
        <v>5152.05</v>
      </c>
      <c r="N96" s="87">
        <f>M96*(1+8%)</f>
        <v>5564.2140000000009</v>
      </c>
      <c r="O96" s="34">
        <v>70</v>
      </c>
      <c r="P96" s="34">
        <v>14.4</v>
      </c>
      <c r="Q96" s="35">
        <v>43344</v>
      </c>
      <c r="R96" s="36">
        <v>0</v>
      </c>
      <c r="S96" s="103">
        <f t="shared" ref="S96:S109" si="44">M96*(1+V96)</f>
        <v>5564.2140000000009</v>
      </c>
      <c r="T96" s="38">
        <f>S96/1.08</f>
        <v>5152.05</v>
      </c>
      <c r="U96" s="38">
        <f>S96/15*5</f>
        <v>1854.7380000000003</v>
      </c>
      <c r="V96" s="39">
        <v>0.08</v>
      </c>
      <c r="W96" s="40">
        <v>44377</v>
      </c>
      <c r="X96" s="41">
        <f t="shared" ref="X96:X109" si="45">(YEAR(W96)-YEAR(E96))*12+MONTH(W96)-MONTH(E96)</f>
        <v>33</v>
      </c>
      <c r="Y96" s="179">
        <f t="shared" ref="Y96:Y109" si="46">X96/12</f>
        <v>2.75</v>
      </c>
    </row>
    <row r="97" spans="1:25" x14ac:dyDescent="0.2">
      <c r="A97" s="52"/>
      <c r="B97" s="104" t="s">
        <v>132</v>
      </c>
      <c r="C97" s="105" t="s">
        <v>133</v>
      </c>
      <c r="D97" s="45" t="s">
        <v>51</v>
      </c>
      <c r="E97" s="106">
        <v>33970</v>
      </c>
      <c r="F97" s="47">
        <v>13300.944444000001</v>
      </c>
      <c r="G97" s="47">
        <f t="shared" si="41"/>
        <v>886.72962960000007</v>
      </c>
      <c r="H97" s="47"/>
      <c r="I97" s="47">
        <f t="shared" si="42"/>
        <v>62071.074072000003</v>
      </c>
      <c r="J97" s="47">
        <f t="shared" si="43"/>
        <v>17025.208888320001</v>
      </c>
      <c r="K97" s="49">
        <f>F97/15*12+R97+R97</f>
        <v>12395.755555200001</v>
      </c>
      <c r="L97" s="31"/>
      <c r="M97" s="454">
        <v>12315.6893</v>
      </c>
      <c r="N97" s="87">
        <f t="shared" ref="N97:N109" si="47">M97*(1+8%)</f>
        <v>13300.944444000001</v>
      </c>
      <c r="O97" s="34">
        <v>70</v>
      </c>
      <c r="P97" s="34">
        <v>19.2</v>
      </c>
      <c r="Q97" s="35">
        <v>33970</v>
      </c>
      <c r="R97" s="36">
        <v>877.5</v>
      </c>
      <c r="S97" s="103">
        <f t="shared" si="44"/>
        <v>13300.944444000001</v>
      </c>
      <c r="T97" s="38">
        <f t="shared" ref="T97:T109" si="48">S97/1.08</f>
        <v>12315.6893</v>
      </c>
      <c r="U97" s="38">
        <f t="shared" ref="U97:U109" si="49">S97/15*5</f>
        <v>4433.6481480000002</v>
      </c>
      <c r="V97" s="39">
        <v>0.08</v>
      </c>
      <c r="W97" s="40">
        <v>44377</v>
      </c>
      <c r="X97" s="41">
        <f t="shared" si="45"/>
        <v>341</v>
      </c>
      <c r="Y97" s="179">
        <f t="shared" si="46"/>
        <v>28.416666666666668</v>
      </c>
    </row>
    <row r="98" spans="1:25" x14ac:dyDescent="0.2">
      <c r="A98" s="52"/>
      <c r="B98" s="104" t="s">
        <v>134</v>
      </c>
      <c r="C98" s="105" t="s">
        <v>61</v>
      </c>
      <c r="D98" s="45" t="s">
        <v>30</v>
      </c>
      <c r="E98" s="106">
        <v>43344</v>
      </c>
      <c r="F98" s="47">
        <v>5564.2140000000009</v>
      </c>
      <c r="G98" s="47">
        <f t="shared" si="41"/>
        <v>370.94760000000008</v>
      </c>
      <c r="H98" s="48">
        <v>2000</v>
      </c>
      <c r="I98" s="47">
        <f t="shared" si="42"/>
        <v>25966.332000000006</v>
      </c>
      <c r="J98" s="47">
        <f t="shared" si="43"/>
        <v>5341.6454400000011</v>
      </c>
      <c r="K98" s="49">
        <v>0</v>
      </c>
      <c r="L98" s="31"/>
      <c r="M98" s="454">
        <v>5152.05</v>
      </c>
      <c r="N98" s="87">
        <f t="shared" si="47"/>
        <v>5564.2140000000009</v>
      </c>
      <c r="O98" s="34">
        <v>70</v>
      </c>
      <c r="P98" s="34">
        <v>14.4</v>
      </c>
      <c r="Q98" s="35">
        <v>43344</v>
      </c>
      <c r="R98" s="36">
        <v>0</v>
      </c>
      <c r="S98" s="103">
        <f t="shared" si="44"/>
        <v>5564.2140000000009</v>
      </c>
      <c r="T98" s="38">
        <f t="shared" si="48"/>
        <v>5152.05</v>
      </c>
      <c r="U98" s="38">
        <f t="shared" si="49"/>
        <v>1854.7380000000003</v>
      </c>
      <c r="V98" s="39">
        <v>0.08</v>
      </c>
      <c r="W98" s="40">
        <v>44377</v>
      </c>
      <c r="X98" s="41">
        <f t="shared" si="45"/>
        <v>33</v>
      </c>
      <c r="Y98" s="179">
        <f t="shared" si="46"/>
        <v>2.75</v>
      </c>
    </row>
    <row r="99" spans="1:25" ht="13.5" customHeight="1" x14ac:dyDescent="0.2">
      <c r="A99" s="52"/>
      <c r="B99" s="43" t="s">
        <v>135</v>
      </c>
      <c r="C99" s="44" t="s">
        <v>136</v>
      </c>
      <c r="D99" s="45" t="s">
        <v>34</v>
      </c>
      <c r="E99" s="46">
        <v>43344</v>
      </c>
      <c r="F99" s="48">
        <v>34532.748576000005</v>
      </c>
      <c r="G99" s="47">
        <f t="shared" si="41"/>
        <v>2302.1832384000004</v>
      </c>
      <c r="H99" s="48">
        <v>5741</v>
      </c>
      <c r="I99" s="47">
        <f t="shared" si="42"/>
        <v>161152.82668800003</v>
      </c>
      <c r="J99" s="47">
        <f t="shared" si="43"/>
        <v>33151.438632960009</v>
      </c>
      <c r="K99" s="49">
        <v>0</v>
      </c>
      <c r="L99" s="50"/>
      <c r="M99" s="455">
        <v>31974.767200000006</v>
      </c>
      <c r="N99" s="87">
        <f t="shared" si="47"/>
        <v>34532.748576000005</v>
      </c>
      <c r="O99" s="34">
        <v>70</v>
      </c>
      <c r="P99" s="34">
        <v>14.4</v>
      </c>
      <c r="Q99" s="51">
        <v>43344</v>
      </c>
      <c r="R99" s="36">
        <v>0</v>
      </c>
      <c r="S99" s="103">
        <f t="shared" si="44"/>
        <v>34532.748576000005</v>
      </c>
      <c r="T99" s="38">
        <f t="shared" si="48"/>
        <v>31974.767200000002</v>
      </c>
      <c r="U99" s="38">
        <f t="shared" si="49"/>
        <v>11510.916192000002</v>
      </c>
      <c r="V99" s="39">
        <v>0.08</v>
      </c>
      <c r="W99" s="40">
        <v>44377</v>
      </c>
      <c r="X99" s="41">
        <f t="shared" si="45"/>
        <v>33</v>
      </c>
      <c r="Y99" s="179">
        <f t="shared" si="46"/>
        <v>2.75</v>
      </c>
    </row>
    <row r="100" spans="1:25" x14ac:dyDescent="0.2">
      <c r="A100" s="52"/>
      <c r="B100" s="104" t="s">
        <v>137</v>
      </c>
      <c r="C100" s="105" t="s">
        <v>138</v>
      </c>
      <c r="D100" s="45" t="s">
        <v>51</v>
      </c>
      <c r="E100" s="106">
        <v>34121</v>
      </c>
      <c r="F100" s="47">
        <v>5985.3600000000006</v>
      </c>
      <c r="G100" s="47">
        <f t="shared" si="41"/>
        <v>399.02400000000006</v>
      </c>
      <c r="H100" s="48"/>
      <c r="I100" s="47">
        <f t="shared" si="42"/>
        <v>27931.680000000004</v>
      </c>
      <c r="J100" s="47">
        <f t="shared" si="43"/>
        <v>7661.2608000000009</v>
      </c>
      <c r="K100" s="49">
        <f>F100/15*12+R100+R100</f>
        <v>6543.2880000000005</v>
      </c>
      <c r="L100" s="31"/>
      <c r="M100" s="454">
        <v>5542</v>
      </c>
      <c r="N100" s="87">
        <f t="shared" si="47"/>
        <v>5985.3600000000006</v>
      </c>
      <c r="O100" s="34">
        <v>70</v>
      </c>
      <c r="P100" s="34">
        <v>19.2</v>
      </c>
      <c r="Q100" s="35">
        <v>34121</v>
      </c>
      <c r="R100" s="36">
        <v>877.5</v>
      </c>
      <c r="S100" s="103">
        <f t="shared" si="44"/>
        <v>5985.3600000000006</v>
      </c>
      <c r="T100" s="38">
        <f t="shared" si="48"/>
        <v>5542</v>
      </c>
      <c r="U100" s="38">
        <f t="shared" si="49"/>
        <v>1995.1200000000003</v>
      </c>
      <c r="V100" s="39">
        <v>0.08</v>
      </c>
      <c r="W100" s="40">
        <v>44377</v>
      </c>
      <c r="X100" s="41">
        <f t="shared" si="45"/>
        <v>336</v>
      </c>
      <c r="Y100" s="179">
        <f t="shared" si="46"/>
        <v>28</v>
      </c>
    </row>
    <row r="101" spans="1:25" s="130" customFormat="1" x14ac:dyDescent="0.2">
      <c r="A101" s="130" t="s">
        <v>90</v>
      </c>
      <c r="B101" s="131" t="s">
        <v>139</v>
      </c>
      <c r="C101" s="132" t="s">
        <v>140</v>
      </c>
      <c r="D101" s="133" t="s">
        <v>30</v>
      </c>
      <c r="E101" s="134">
        <v>43662</v>
      </c>
      <c r="F101" s="147">
        <v>5778</v>
      </c>
      <c r="G101" s="147">
        <f t="shared" si="41"/>
        <v>385.2</v>
      </c>
      <c r="H101" s="167"/>
      <c r="I101" s="147">
        <f t="shared" si="42"/>
        <v>26964</v>
      </c>
      <c r="J101" s="147">
        <f t="shared" si="43"/>
        <v>5546.88</v>
      </c>
      <c r="K101" s="148">
        <v>0</v>
      </c>
      <c r="L101" s="138"/>
      <c r="M101" s="454">
        <v>5350</v>
      </c>
      <c r="N101" s="168">
        <f t="shared" si="47"/>
        <v>5778</v>
      </c>
      <c r="O101" s="140">
        <v>70</v>
      </c>
      <c r="P101" s="140">
        <v>14.4</v>
      </c>
      <c r="Q101" s="134">
        <v>43662</v>
      </c>
      <c r="R101" s="141"/>
      <c r="S101" s="181">
        <f t="shared" si="44"/>
        <v>5778</v>
      </c>
      <c r="T101" s="38">
        <f t="shared" si="48"/>
        <v>5350</v>
      </c>
      <c r="U101" s="38">
        <f t="shared" si="49"/>
        <v>1926</v>
      </c>
      <c r="V101" s="143">
        <v>0.08</v>
      </c>
      <c r="W101" s="144">
        <v>44377</v>
      </c>
      <c r="X101" s="145">
        <f t="shared" si="45"/>
        <v>23</v>
      </c>
      <c r="Y101" s="182">
        <f t="shared" si="46"/>
        <v>1.9166666666666667</v>
      </c>
    </row>
    <row r="102" spans="1:25" x14ac:dyDescent="0.2">
      <c r="A102" s="52"/>
      <c r="B102" s="104" t="s">
        <v>141</v>
      </c>
      <c r="C102" s="105" t="s">
        <v>61</v>
      </c>
      <c r="D102" s="45" t="s">
        <v>51</v>
      </c>
      <c r="E102" s="106">
        <v>39815</v>
      </c>
      <c r="F102" s="47">
        <v>5985.3600000000006</v>
      </c>
      <c r="G102" s="47">
        <f t="shared" si="41"/>
        <v>399.02400000000006</v>
      </c>
      <c r="H102" s="48"/>
      <c r="I102" s="47">
        <f t="shared" si="42"/>
        <v>27931.680000000004</v>
      </c>
      <c r="J102" s="47">
        <f t="shared" si="43"/>
        <v>7661.2608000000009</v>
      </c>
      <c r="K102" s="49">
        <f>F102/15*12+R102+R102</f>
        <v>5561.5680000000011</v>
      </c>
      <c r="L102" s="31"/>
      <c r="M102" s="454">
        <v>5542</v>
      </c>
      <c r="N102" s="87">
        <f t="shared" si="47"/>
        <v>5985.3600000000006</v>
      </c>
      <c r="O102" s="34">
        <v>70</v>
      </c>
      <c r="P102" s="34">
        <v>19.2</v>
      </c>
      <c r="Q102" s="35">
        <v>39815</v>
      </c>
      <c r="R102" s="36">
        <v>386.64</v>
      </c>
      <c r="S102" s="103">
        <f t="shared" si="44"/>
        <v>5985.3600000000006</v>
      </c>
      <c r="T102" s="38">
        <f t="shared" si="48"/>
        <v>5542</v>
      </c>
      <c r="U102" s="38">
        <f t="shared" si="49"/>
        <v>1995.1200000000003</v>
      </c>
      <c r="V102" s="39">
        <v>0.08</v>
      </c>
      <c r="W102" s="40">
        <v>44377</v>
      </c>
      <c r="X102" s="41">
        <f t="shared" si="45"/>
        <v>149</v>
      </c>
      <c r="Y102" s="179">
        <f t="shared" si="46"/>
        <v>12.416666666666666</v>
      </c>
    </row>
    <row r="103" spans="1:25" x14ac:dyDescent="0.2">
      <c r="A103" s="52"/>
      <c r="B103" s="104" t="s">
        <v>142</v>
      </c>
      <c r="C103" s="105" t="s">
        <v>61</v>
      </c>
      <c r="D103" s="45" t="s">
        <v>51</v>
      </c>
      <c r="E103" s="106">
        <v>34450</v>
      </c>
      <c r="F103" s="47">
        <v>14714.254800000002</v>
      </c>
      <c r="G103" s="47">
        <f t="shared" si="41"/>
        <v>980.95032000000015</v>
      </c>
      <c r="H103" s="48"/>
      <c r="I103" s="47">
        <f t="shared" si="42"/>
        <v>68666.522400000016</v>
      </c>
      <c r="J103" s="47">
        <f t="shared" si="43"/>
        <v>18834.246144000001</v>
      </c>
      <c r="K103" s="49">
        <f>F103/15*12+R103+R103</f>
        <v>13526.403840000003</v>
      </c>
      <c r="L103" s="31"/>
      <c r="M103" s="454">
        <v>13624.310000000001</v>
      </c>
      <c r="N103" s="87">
        <f t="shared" si="47"/>
        <v>14714.254800000002</v>
      </c>
      <c r="O103" s="34">
        <v>70</v>
      </c>
      <c r="P103" s="34">
        <v>19.2</v>
      </c>
      <c r="Q103" s="35">
        <v>34450</v>
      </c>
      <c r="R103" s="36">
        <v>877.5</v>
      </c>
      <c r="S103" s="103">
        <f t="shared" si="44"/>
        <v>14714.254800000002</v>
      </c>
      <c r="T103" s="38">
        <f t="shared" si="48"/>
        <v>13624.310000000001</v>
      </c>
      <c r="U103" s="38">
        <f t="shared" si="49"/>
        <v>4904.7516000000005</v>
      </c>
      <c r="V103" s="39">
        <v>0.08</v>
      </c>
      <c r="W103" s="40">
        <v>44377</v>
      </c>
      <c r="X103" s="41">
        <f t="shared" si="45"/>
        <v>326</v>
      </c>
      <c r="Y103" s="179">
        <f t="shared" si="46"/>
        <v>27.166666666666668</v>
      </c>
    </row>
    <row r="104" spans="1:25" x14ac:dyDescent="0.2">
      <c r="B104" s="104" t="s">
        <v>143</v>
      </c>
      <c r="C104" s="105" t="s">
        <v>144</v>
      </c>
      <c r="D104" s="45" t="s">
        <v>30</v>
      </c>
      <c r="E104" s="106">
        <v>43344</v>
      </c>
      <c r="F104" s="47">
        <v>10924.441488</v>
      </c>
      <c r="G104" s="47">
        <f t="shared" si="41"/>
        <v>728.29609920000007</v>
      </c>
      <c r="H104" s="47">
        <v>1500</v>
      </c>
      <c r="I104" s="47">
        <f t="shared" si="42"/>
        <v>50980.726944000002</v>
      </c>
      <c r="J104" s="47">
        <f t="shared" si="43"/>
        <v>10487.463828480002</v>
      </c>
      <c r="K104" s="49">
        <v>0</v>
      </c>
      <c r="L104" s="31"/>
      <c r="M104" s="454">
        <v>10115.223599999999</v>
      </c>
      <c r="N104" s="87">
        <f t="shared" si="47"/>
        <v>10924.441488</v>
      </c>
      <c r="O104" s="34">
        <v>70</v>
      </c>
      <c r="P104" s="34">
        <v>14.4</v>
      </c>
      <c r="Q104" s="35">
        <v>43344</v>
      </c>
      <c r="R104" s="36">
        <v>0</v>
      </c>
      <c r="S104" s="103">
        <f t="shared" si="44"/>
        <v>10924.441488</v>
      </c>
      <c r="T104" s="38">
        <f t="shared" si="48"/>
        <v>10115.223599999999</v>
      </c>
      <c r="U104" s="38">
        <f t="shared" si="49"/>
        <v>3641.4804960000001</v>
      </c>
      <c r="V104" s="39">
        <v>0.08</v>
      </c>
      <c r="W104" s="40">
        <v>44377</v>
      </c>
      <c r="X104" s="41">
        <f t="shared" si="45"/>
        <v>33</v>
      </c>
      <c r="Y104" s="179">
        <f t="shared" si="46"/>
        <v>2.75</v>
      </c>
    </row>
    <row r="105" spans="1:25" x14ac:dyDescent="0.2">
      <c r="A105" s="52"/>
      <c r="B105" s="104" t="s">
        <v>145</v>
      </c>
      <c r="C105" s="105" t="s">
        <v>61</v>
      </c>
      <c r="D105" s="45" t="s">
        <v>51</v>
      </c>
      <c r="E105" s="106">
        <v>37378</v>
      </c>
      <c r="F105" s="47">
        <v>5985.3600000000006</v>
      </c>
      <c r="G105" s="47">
        <f t="shared" si="41"/>
        <v>399.02400000000006</v>
      </c>
      <c r="H105" s="47"/>
      <c r="I105" s="47">
        <f t="shared" si="42"/>
        <v>27931.680000000004</v>
      </c>
      <c r="J105" s="47">
        <f t="shared" si="43"/>
        <v>7661.2608000000009</v>
      </c>
      <c r="K105" s="49">
        <f>F105/15*12+R105+R105</f>
        <v>5846.9279999999999</v>
      </c>
      <c r="L105" s="31"/>
      <c r="M105" s="454">
        <v>5542</v>
      </c>
      <c r="N105" s="87">
        <f t="shared" si="47"/>
        <v>5985.3600000000006</v>
      </c>
      <c r="O105" s="34">
        <v>70</v>
      </c>
      <c r="P105" s="34">
        <v>19.2</v>
      </c>
      <c r="Q105" s="35">
        <v>37378</v>
      </c>
      <c r="R105" s="36">
        <v>529.32000000000005</v>
      </c>
      <c r="S105" s="103">
        <f t="shared" si="44"/>
        <v>5985.3600000000006</v>
      </c>
      <c r="T105" s="38">
        <f t="shared" si="48"/>
        <v>5542</v>
      </c>
      <c r="U105" s="38">
        <f t="shared" si="49"/>
        <v>1995.1200000000003</v>
      </c>
      <c r="V105" s="39">
        <v>0.08</v>
      </c>
      <c r="W105" s="40">
        <v>44377</v>
      </c>
      <c r="X105" s="41">
        <f t="shared" si="45"/>
        <v>229</v>
      </c>
      <c r="Y105" s="179">
        <f t="shared" si="46"/>
        <v>19.083333333333332</v>
      </c>
    </row>
    <row r="106" spans="1:25" x14ac:dyDescent="0.2">
      <c r="A106" s="52"/>
      <c r="B106" s="104" t="s">
        <v>146</v>
      </c>
      <c r="C106" s="105" t="s">
        <v>147</v>
      </c>
      <c r="D106" s="45" t="s">
        <v>51</v>
      </c>
      <c r="E106" s="106">
        <v>35065</v>
      </c>
      <c r="F106" s="47">
        <v>9397.3392000000022</v>
      </c>
      <c r="G106" s="47">
        <f t="shared" si="41"/>
        <v>626.48928000000012</v>
      </c>
      <c r="H106" s="48"/>
      <c r="I106" s="47">
        <f t="shared" si="42"/>
        <v>43854.24960000001</v>
      </c>
      <c r="J106" s="47">
        <f t="shared" si="43"/>
        <v>12028.594176000002</v>
      </c>
      <c r="K106" s="49">
        <f>F106/15*12+R106+R106</f>
        <v>9272.871360000001</v>
      </c>
      <c r="L106" s="31"/>
      <c r="M106" s="454">
        <v>8701.2400000000016</v>
      </c>
      <c r="N106" s="87">
        <f t="shared" si="47"/>
        <v>9397.3392000000022</v>
      </c>
      <c r="O106" s="34">
        <v>70</v>
      </c>
      <c r="P106" s="34">
        <v>19.2</v>
      </c>
      <c r="Q106" s="35">
        <v>35065</v>
      </c>
      <c r="R106" s="36">
        <v>877.5</v>
      </c>
      <c r="S106" s="103">
        <f t="shared" si="44"/>
        <v>9397.3392000000022</v>
      </c>
      <c r="T106" s="38">
        <f t="shared" si="48"/>
        <v>8701.2400000000016</v>
      </c>
      <c r="U106" s="38">
        <f t="shared" si="49"/>
        <v>3132.4464000000007</v>
      </c>
      <c r="V106" s="39">
        <v>0.08</v>
      </c>
      <c r="W106" s="40">
        <v>44377</v>
      </c>
      <c r="X106" s="41">
        <f t="shared" si="45"/>
        <v>305</v>
      </c>
      <c r="Y106" s="179">
        <f t="shared" si="46"/>
        <v>25.416666666666668</v>
      </c>
    </row>
    <row r="107" spans="1:25" x14ac:dyDescent="0.2">
      <c r="A107" s="52"/>
      <c r="B107" s="43" t="s">
        <v>148</v>
      </c>
      <c r="C107" s="44" t="s">
        <v>149</v>
      </c>
      <c r="D107" s="45" t="s">
        <v>51</v>
      </c>
      <c r="E107" s="46">
        <v>36161</v>
      </c>
      <c r="F107" s="48">
        <v>5985.3600000000006</v>
      </c>
      <c r="G107" s="47">
        <f t="shared" si="41"/>
        <v>399.02400000000006</v>
      </c>
      <c r="H107" s="48"/>
      <c r="I107" s="47">
        <f t="shared" si="42"/>
        <v>27931.680000000004</v>
      </c>
      <c r="J107" s="47">
        <f t="shared" si="43"/>
        <v>7661.2608000000009</v>
      </c>
      <c r="K107" s="49">
        <f>F107/15*12+R107+R107</f>
        <v>6162.8880000000008</v>
      </c>
      <c r="L107" s="50"/>
      <c r="M107" s="455">
        <v>5542</v>
      </c>
      <c r="N107" s="87">
        <f t="shared" si="47"/>
        <v>5985.3600000000006</v>
      </c>
      <c r="O107" s="34">
        <v>70</v>
      </c>
      <c r="P107" s="34">
        <v>19.2</v>
      </c>
      <c r="Q107" s="51">
        <v>36161</v>
      </c>
      <c r="R107" s="36">
        <v>687.3</v>
      </c>
      <c r="S107" s="103">
        <f t="shared" si="44"/>
        <v>5985.3600000000006</v>
      </c>
      <c r="T107" s="38">
        <f t="shared" si="48"/>
        <v>5542</v>
      </c>
      <c r="U107" s="38">
        <f t="shared" si="49"/>
        <v>1995.1200000000003</v>
      </c>
      <c r="V107" s="39">
        <v>0.08</v>
      </c>
      <c r="W107" s="40">
        <v>44377</v>
      </c>
      <c r="X107" s="41">
        <f t="shared" si="45"/>
        <v>269</v>
      </c>
      <c r="Y107" s="179">
        <f t="shared" si="46"/>
        <v>22.416666666666668</v>
      </c>
    </row>
    <row r="108" spans="1:25" x14ac:dyDescent="0.2">
      <c r="A108" s="52"/>
      <c r="B108" s="43" t="s">
        <v>150</v>
      </c>
      <c r="C108" s="44" t="s">
        <v>61</v>
      </c>
      <c r="D108" s="45" t="s">
        <v>30</v>
      </c>
      <c r="E108" s="46">
        <v>43512</v>
      </c>
      <c r="F108" s="48">
        <v>3704.8536000000004</v>
      </c>
      <c r="G108" s="47">
        <f t="shared" si="41"/>
        <v>246.99024000000003</v>
      </c>
      <c r="H108" s="48"/>
      <c r="I108" s="47">
        <f t="shared" si="42"/>
        <v>17289.316800000001</v>
      </c>
      <c r="J108" s="47">
        <f t="shared" si="43"/>
        <v>3556.6594560000003</v>
      </c>
      <c r="K108" s="49">
        <v>0</v>
      </c>
      <c r="L108" s="50"/>
      <c r="M108" s="455">
        <v>3430.42</v>
      </c>
      <c r="N108" s="87">
        <f t="shared" si="47"/>
        <v>3704.8536000000004</v>
      </c>
      <c r="O108" s="34">
        <v>70</v>
      </c>
      <c r="P108" s="34">
        <v>14.4</v>
      </c>
      <c r="Q108" s="51">
        <v>43512</v>
      </c>
      <c r="R108" s="36">
        <v>0</v>
      </c>
      <c r="S108" s="103">
        <f t="shared" si="44"/>
        <v>3704.8536000000004</v>
      </c>
      <c r="T108" s="38">
        <f t="shared" si="48"/>
        <v>3430.42</v>
      </c>
      <c r="U108" s="38">
        <f t="shared" si="49"/>
        <v>1234.9512000000002</v>
      </c>
      <c r="V108" s="39">
        <v>0.08</v>
      </c>
      <c r="W108" s="40">
        <v>44377</v>
      </c>
      <c r="X108" s="41">
        <f t="shared" si="45"/>
        <v>28</v>
      </c>
      <c r="Y108" s="179">
        <f t="shared" si="46"/>
        <v>2.3333333333333335</v>
      </c>
    </row>
    <row r="109" spans="1:25" ht="12.75" customHeight="1" thickBot="1" x14ac:dyDescent="0.25">
      <c r="A109" s="52"/>
      <c r="B109" s="53" t="s">
        <v>151</v>
      </c>
      <c r="C109" s="183" t="s">
        <v>61</v>
      </c>
      <c r="D109" s="55" t="s">
        <v>51</v>
      </c>
      <c r="E109" s="184">
        <v>38035</v>
      </c>
      <c r="F109" s="96">
        <v>3830.6522160000009</v>
      </c>
      <c r="G109" s="57">
        <f t="shared" si="41"/>
        <v>255.37681440000006</v>
      </c>
      <c r="H109" s="96">
        <v>500</v>
      </c>
      <c r="I109" s="57">
        <f t="shared" si="42"/>
        <v>17876.377008000003</v>
      </c>
      <c r="J109" s="57">
        <f t="shared" si="43"/>
        <v>4903.2348364800009</v>
      </c>
      <c r="K109" s="58">
        <f>F109/15*12+R109+R109</f>
        <v>4123.161772800001</v>
      </c>
      <c r="L109" s="50"/>
      <c r="M109" s="456">
        <v>3546.9002000000005</v>
      </c>
      <c r="N109" s="87">
        <f t="shared" si="47"/>
        <v>3830.6522160000009</v>
      </c>
      <c r="O109" s="34">
        <v>70</v>
      </c>
      <c r="P109" s="34">
        <v>19.2</v>
      </c>
      <c r="Q109" s="51">
        <v>38035</v>
      </c>
      <c r="R109" s="36">
        <v>529.32000000000005</v>
      </c>
      <c r="S109" s="103">
        <f t="shared" si="44"/>
        <v>3830.6522160000009</v>
      </c>
      <c r="T109" s="38">
        <f t="shared" si="48"/>
        <v>3546.9002000000005</v>
      </c>
      <c r="U109" s="38">
        <f t="shared" si="49"/>
        <v>1276.8840720000003</v>
      </c>
      <c r="V109" s="39">
        <v>0.08</v>
      </c>
      <c r="W109" s="40">
        <v>44377</v>
      </c>
      <c r="X109" s="41">
        <f t="shared" si="45"/>
        <v>208</v>
      </c>
      <c r="Y109" s="179">
        <f t="shared" si="46"/>
        <v>17.333333333333332</v>
      </c>
    </row>
    <row r="110" spans="1:25" ht="13.5" thickBot="1" x14ac:dyDescent="0.25"/>
    <row r="111" spans="1:25" x14ac:dyDescent="0.2">
      <c r="B111" s="69" t="s">
        <v>39</v>
      </c>
      <c r="C111" s="69" t="s">
        <v>40</v>
      </c>
      <c r="D111" s="70"/>
      <c r="E111" s="71" t="s">
        <v>41</v>
      </c>
      <c r="F111" s="72">
        <f t="shared" ref="F111:K111" si="50">SUM(F96:F109)</f>
        <v>131253.10232400001</v>
      </c>
      <c r="G111" s="72">
        <f t="shared" si="50"/>
        <v>8750.2068216000007</v>
      </c>
      <c r="H111" s="72">
        <f t="shared" si="50"/>
        <v>9741</v>
      </c>
      <c r="I111" s="72">
        <f t="shared" si="50"/>
        <v>612514.47751200013</v>
      </c>
      <c r="J111" s="72">
        <f t="shared" si="50"/>
        <v>146862.06004224002</v>
      </c>
      <c r="K111" s="72">
        <f t="shared" si="50"/>
        <v>63432.864528000013</v>
      </c>
      <c r="L111" s="73"/>
      <c r="M111" s="5" t="s">
        <v>42</v>
      </c>
      <c r="N111" s="64"/>
      <c r="R111" s="185"/>
      <c r="S111" s="84"/>
      <c r="V111" s="66"/>
      <c r="W111" s="67"/>
      <c r="X111" s="68"/>
    </row>
    <row r="112" spans="1:25" ht="19.5" customHeight="1" thickBot="1" x14ac:dyDescent="0.25">
      <c r="B112" s="69" t="s">
        <v>43</v>
      </c>
      <c r="C112" s="69" t="s">
        <v>44</v>
      </c>
      <c r="E112" s="74" t="s">
        <v>46</v>
      </c>
      <c r="F112" s="75">
        <f>F111*24</f>
        <v>3150074.4557760004</v>
      </c>
      <c r="G112" s="75">
        <f>G111*5</f>
        <v>43751.034108000007</v>
      </c>
      <c r="H112" s="75">
        <f>H111*24</f>
        <v>233784</v>
      </c>
      <c r="I112" s="75">
        <f>I111</f>
        <v>612514.47751200013</v>
      </c>
      <c r="J112" s="75">
        <f>J111</f>
        <v>146862.06004224002</v>
      </c>
      <c r="K112" s="76">
        <f>K111</f>
        <v>63432.864528000013</v>
      </c>
      <c r="L112" s="73"/>
      <c r="M112" s="77">
        <f>SUM(F112:K112)</f>
        <v>4250418.8919662405</v>
      </c>
      <c r="N112" s="78"/>
      <c r="O112" s="80"/>
      <c r="P112" s="80"/>
      <c r="Q112" s="176"/>
      <c r="R112" s="81">
        <f>SUM(R96:R109)</f>
        <v>5642.58</v>
      </c>
      <c r="S112" s="103">
        <f>M112*(1+V112)</f>
        <v>4590452.4033235405</v>
      </c>
      <c r="T112" s="77"/>
      <c r="U112" s="177">
        <f>SUM(U96:U109)</f>
        <v>43751.034108000014</v>
      </c>
      <c r="V112" s="82">
        <v>0.08</v>
      </c>
      <c r="W112" s="83"/>
      <c r="X112" s="178"/>
      <c r="Y112" s="179"/>
    </row>
    <row r="114" spans="1:179" ht="15" x14ac:dyDescent="0.25">
      <c r="B114" s="13"/>
      <c r="C114" s="13"/>
      <c r="D114" s="13" t="s">
        <v>639</v>
      </c>
      <c r="E114" s="13"/>
      <c r="F114" s="13"/>
      <c r="G114" s="13"/>
      <c r="H114" s="13"/>
      <c r="I114" s="14"/>
      <c r="J114" s="13"/>
      <c r="K114" s="13"/>
      <c r="L114" s="15"/>
      <c r="N114" s="64"/>
      <c r="S114" s="84"/>
      <c r="V114" s="66"/>
      <c r="W114" s="67"/>
      <c r="X114" s="68"/>
    </row>
    <row r="115" spans="1:179" ht="15" x14ac:dyDescent="0.25">
      <c r="B115" s="16" t="s">
        <v>4</v>
      </c>
      <c r="C115" s="16"/>
      <c r="D115" s="475" t="s">
        <v>152</v>
      </c>
      <c r="E115" s="475"/>
      <c r="F115" s="14"/>
      <c r="G115" s="14"/>
      <c r="H115" s="476"/>
      <c r="I115" s="476"/>
      <c r="J115" s="14"/>
      <c r="K115" s="17"/>
      <c r="L115" s="18"/>
      <c r="N115" s="64"/>
      <c r="S115" s="84"/>
      <c r="V115" s="66"/>
      <c r="W115" s="67"/>
      <c r="X115" s="68"/>
    </row>
    <row r="116" spans="1:179" ht="14.25" thickBot="1" x14ac:dyDescent="0.25">
      <c r="B116" s="19"/>
      <c r="C116" s="19"/>
      <c r="D116" s="19"/>
      <c r="E116" s="19"/>
      <c r="F116" s="20"/>
      <c r="G116" s="20"/>
      <c r="H116" s="20"/>
      <c r="I116" s="20"/>
      <c r="J116" s="20"/>
      <c r="K116" s="22"/>
      <c r="L116" s="19"/>
      <c r="N116" s="64"/>
      <c r="S116" s="84"/>
      <c r="V116" s="66"/>
      <c r="W116" s="67"/>
      <c r="X116" s="68"/>
    </row>
    <row r="117" spans="1:179" ht="12.75" customHeight="1" x14ac:dyDescent="0.2">
      <c r="B117" s="477" t="s">
        <v>6</v>
      </c>
      <c r="C117" s="479" t="s">
        <v>7</v>
      </c>
      <c r="D117" s="479" t="s">
        <v>8</v>
      </c>
      <c r="E117" s="479" t="s">
        <v>9</v>
      </c>
      <c r="F117" s="481" t="s">
        <v>10</v>
      </c>
      <c r="G117" s="483" t="s">
        <v>11</v>
      </c>
      <c r="H117" s="481" t="s">
        <v>12</v>
      </c>
      <c r="I117" s="479" t="s">
        <v>13</v>
      </c>
      <c r="J117" s="479" t="s">
        <v>14</v>
      </c>
      <c r="K117" s="493" t="s">
        <v>15</v>
      </c>
      <c r="L117" s="23"/>
      <c r="M117" s="495" t="s">
        <v>16</v>
      </c>
      <c r="N117" s="495" t="s">
        <v>17</v>
      </c>
      <c r="O117" s="489" t="s">
        <v>18</v>
      </c>
      <c r="P117" s="489" t="s">
        <v>19</v>
      </c>
      <c r="Q117" s="489" t="s">
        <v>20</v>
      </c>
      <c r="R117" s="490" t="s">
        <v>21</v>
      </c>
      <c r="S117" s="495" t="s">
        <v>22</v>
      </c>
      <c r="T117" s="495" t="s">
        <v>16</v>
      </c>
      <c r="U117" s="498" t="s">
        <v>23</v>
      </c>
      <c r="V117" s="498" t="s">
        <v>24</v>
      </c>
      <c r="W117" s="489" t="s">
        <v>25</v>
      </c>
      <c r="X117" s="489" t="s">
        <v>26</v>
      </c>
      <c r="Y117" s="497" t="s">
        <v>27</v>
      </c>
    </row>
    <row r="118" spans="1:179" ht="13.5" customHeight="1" thickBot="1" x14ac:dyDescent="0.25">
      <c r="B118" s="478"/>
      <c r="C118" s="480"/>
      <c r="D118" s="480"/>
      <c r="E118" s="480"/>
      <c r="F118" s="482"/>
      <c r="G118" s="484"/>
      <c r="H118" s="482"/>
      <c r="I118" s="480"/>
      <c r="J118" s="480"/>
      <c r="K118" s="494"/>
      <c r="L118" s="23"/>
      <c r="M118" s="495"/>
      <c r="N118" s="495"/>
      <c r="O118" s="489"/>
      <c r="P118" s="489"/>
      <c r="Q118" s="489"/>
      <c r="R118" s="490"/>
      <c r="S118" s="495"/>
      <c r="T118" s="495"/>
      <c r="U118" s="498"/>
      <c r="V118" s="498"/>
      <c r="W118" s="489"/>
      <c r="X118" s="489"/>
      <c r="Y118" s="497"/>
    </row>
    <row r="119" spans="1:179" ht="13.5" thickBot="1" x14ac:dyDescent="0.25">
      <c r="D119" s="6"/>
      <c r="L119" s="23"/>
      <c r="N119" s="64"/>
      <c r="S119" s="84"/>
      <c r="V119" s="66"/>
      <c r="W119" s="67"/>
      <c r="X119" s="68"/>
    </row>
    <row r="120" spans="1:179" ht="13.5" customHeight="1" x14ac:dyDescent="0.2">
      <c r="A120" s="52"/>
      <c r="B120" s="25" t="s">
        <v>153</v>
      </c>
      <c r="C120" s="26" t="s">
        <v>154</v>
      </c>
      <c r="D120" s="27" t="s">
        <v>34</v>
      </c>
      <c r="E120" s="28">
        <v>43344</v>
      </c>
      <c r="F120" s="121">
        <v>12666.624048000001</v>
      </c>
      <c r="G120" s="120">
        <f t="shared" ref="G120:G126" si="51">F120/15</f>
        <v>844.44160320000015</v>
      </c>
      <c r="H120" s="121"/>
      <c r="I120" s="120">
        <f t="shared" ref="I120:I126" si="52">F120/15*O120</f>
        <v>59110.912224000007</v>
      </c>
      <c r="J120" s="120">
        <f t="shared" ref="J120:J126" si="53">F120/15*P120</f>
        <v>12159.959086080002</v>
      </c>
      <c r="K120" s="122">
        <v>0</v>
      </c>
      <c r="L120" s="31"/>
      <c r="M120" s="457">
        <v>11728.355600000001</v>
      </c>
      <c r="N120" s="33">
        <f>M120*(1+8%)</f>
        <v>12666.624048000001</v>
      </c>
      <c r="O120" s="34">
        <v>70</v>
      </c>
      <c r="P120" s="34">
        <v>14.4</v>
      </c>
      <c r="Q120" s="35">
        <v>43344</v>
      </c>
      <c r="R120" s="36">
        <v>0</v>
      </c>
      <c r="S120" s="186">
        <f t="shared" ref="S120:S126" si="54">M120*(1+V120)</f>
        <v>12666.624048000001</v>
      </c>
      <c r="T120" s="187">
        <f>S120/1.08</f>
        <v>11728.355600000001</v>
      </c>
      <c r="U120" s="187">
        <f>S120/15*5</f>
        <v>4222.2080160000005</v>
      </c>
      <c r="V120" s="39">
        <v>0.08</v>
      </c>
      <c r="W120" s="40">
        <v>44377</v>
      </c>
      <c r="X120" s="188">
        <f t="shared" ref="X120:X126" si="55">(YEAR(W120)-YEAR(E120))*12+MONTH(W120)-MONTH(E120)</f>
        <v>33</v>
      </c>
      <c r="Y120" s="42">
        <f t="shared" ref="Y120:Y126" si="56">X120/12</f>
        <v>2.75</v>
      </c>
    </row>
    <row r="121" spans="1:179" ht="13.5" customHeight="1" x14ac:dyDescent="0.2">
      <c r="A121" s="52"/>
      <c r="B121" s="88" t="s">
        <v>155</v>
      </c>
      <c r="C121" s="89" t="s">
        <v>50</v>
      </c>
      <c r="D121" s="90" t="s">
        <v>51</v>
      </c>
      <c r="E121" s="91">
        <v>38789</v>
      </c>
      <c r="F121" s="189">
        <v>4138.5600000000004</v>
      </c>
      <c r="G121" s="190">
        <f t="shared" si="51"/>
        <v>275.90400000000005</v>
      </c>
      <c r="H121" s="189"/>
      <c r="I121" s="190">
        <f t="shared" si="52"/>
        <v>19313.280000000002</v>
      </c>
      <c r="J121" s="190">
        <f t="shared" si="53"/>
        <v>5297.3568000000005</v>
      </c>
      <c r="K121" s="191">
        <f>F121/15*12+R121+R121</f>
        <v>4084.1280000000006</v>
      </c>
      <c r="L121" s="31"/>
      <c r="M121" s="458">
        <v>3832</v>
      </c>
      <c r="N121" s="33">
        <f t="shared" ref="N121:N126" si="57">M121*(1+8%)</f>
        <v>4138.5600000000004</v>
      </c>
      <c r="O121" s="34">
        <v>70</v>
      </c>
      <c r="P121" s="34">
        <v>19.2</v>
      </c>
      <c r="Q121" s="35">
        <v>38789</v>
      </c>
      <c r="R121" s="36">
        <v>386.64</v>
      </c>
      <c r="S121" s="186">
        <f t="shared" si="54"/>
        <v>4138.5600000000004</v>
      </c>
      <c r="T121" s="187">
        <f t="shared" ref="T121:T126" si="58">S121/1.08</f>
        <v>3832</v>
      </c>
      <c r="U121" s="187">
        <f t="shared" ref="U121:U126" si="59">S121/15*5</f>
        <v>1379.5200000000002</v>
      </c>
      <c r="V121" s="39">
        <v>0.08</v>
      </c>
      <c r="W121" s="40">
        <v>44377</v>
      </c>
      <c r="X121" s="188">
        <f t="shared" si="55"/>
        <v>183</v>
      </c>
      <c r="Y121" s="42">
        <f t="shared" si="56"/>
        <v>15.25</v>
      </c>
    </row>
    <row r="122" spans="1:179" ht="13.5" customHeight="1" x14ac:dyDescent="0.2">
      <c r="A122" s="52"/>
      <c r="B122" s="104" t="s">
        <v>156</v>
      </c>
      <c r="C122" s="105" t="s">
        <v>61</v>
      </c>
      <c r="D122" s="45" t="s">
        <v>30</v>
      </c>
      <c r="E122" s="106">
        <v>43374</v>
      </c>
      <c r="F122" s="32">
        <v>4559.9976000000006</v>
      </c>
      <c r="G122" s="32">
        <f t="shared" si="51"/>
        <v>303.99984000000006</v>
      </c>
      <c r="H122" s="32"/>
      <c r="I122" s="32">
        <f t="shared" si="52"/>
        <v>21279.988800000003</v>
      </c>
      <c r="J122" s="32">
        <f t="shared" si="53"/>
        <v>4377.5976960000007</v>
      </c>
      <c r="K122" s="128">
        <v>0</v>
      </c>
      <c r="L122" s="31"/>
      <c r="M122" s="459">
        <v>4222.22</v>
      </c>
      <c r="N122" s="33">
        <f t="shared" si="57"/>
        <v>4559.9976000000006</v>
      </c>
      <c r="O122" s="34">
        <v>70</v>
      </c>
      <c r="P122" s="34">
        <v>14.4</v>
      </c>
      <c r="Q122" s="35">
        <v>43374</v>
      </c>
      <c r="R122" s="36">
        <v>0</v>
      </c>
      <c r="S122" s="186">
        <f t="shared" si="54"/>
        <v>4559.9976000000006</v>
      </c>
      <c r="T122" s="187">
        <f t="shared" si="58"/>
        <v>4222.22</v>
      </c>
      <c r="U122" s="187">
        <f t="shared" si="59"/>
        <v>1519.9992000000002</v>
      </c>
      <c r="V122" s="39">
        <v>0.08</v>
      </c>
      <c r="W122" s="40">
        <v>44377</v>
      </c>
      <c r="X122" s="41">
        <f t="shared" si="55"/>
        <v>32</v>
      </c>
      <c r="Y122" s="42">
        <f t="shared" si="56"/>
        <v>2.6666666666666665</v>
      </c>
    </row>
    <row r="123" spans="1:179" x14ac:dyDescent="0.2">
      <c r="A123" s="52"/>
      <c r="B123" s="104" t="s">
        <v>157</v>
      </c>
      <c r="C123" s="105" t="s">
        <v>158</v>
      </c>
      <c r="D123" s="45" t="s">
        <v>30</v>
      </c>
      <c r="E123" s="106">
        <v>42262</v>
      </c>
      <c r="F123" s="32">
        <v>6183</v>
      </c>
      <c r="G123" s="32">
        <f t="shared" si="51"/>
        <v>412.2</v>
      </c>
      <c r="H123" s="32"/>
      <c r="I123" s="32">
        <f t="shared" si="52"/>
        <v>28854</v>
      </c>
      <c r="J123" s="32">
        <f t="shared" si="53"/>
        <v>7914.24</v>
      </c>
      <c r="K123" s="128">
        <v>0</v>
      </c>
      <c r="L123" s="31"/>
      <c r="M123" s="459">
        <v>5725</v>
      </c>
      <c r="N123" s="33">
        <f t="shared" si="57"/>
        <v>6183</v>
      </c>
      <c r="O123" s="34">
        <v>70</v>
      </c>
      <c r="P123" s="34">
        <v>19.2</v>
      </c>
      <c r="Q123" s="35">
        <v>42262</v>
      </c>
      <c r="R123" s="36">
        <v>0</v>
      </c>
      <c r="S123" s="186">
        <f t="shared" si="54"/>
        <v>6183</v>
      </c>
      <c r="T123" s="187">
        <f t="shared" si="58"/>
        <v>5725</v>
      </c>
      <c r="U123" s="187">
        <f t="shared" si="59"/>
        <v>2061</v>
      </c>
      <c r="V123" s="39">
        <v>0.08</v>
      </c>
      <c r="W123" s="40">
        <v>44377</v>
      </c>
      <c r="X123" s="41">
        <f t="shared" si="55"/>
        <v>69</v>
      </c>
      <c r="Y123" s="42">
        <f t="shared" si="56"/>
        <v>5.75</v>
      </c>
    </row>
    <row r="124" spans="1:179" x14ac:dyDescent="0.2">
      <c r="A124" s="52"/>
      <c r="B124" s="104" t="s">
        <v>159</v>
      </c>
      <c r="C124" s="105" t="s">
        <v>61</v>
      </c>
      <c r="D124" s="45" t="s">
        <v>30</v>
      </c>
      <c r="E124" s="106">
        <v>43374</v>
      </c>
      <c r="F124" s="32">
        <v>4800.3624000000009</v>
      </c>
      <c r="G124" s="32">
        <f t="shared" si="51"/>
        <v>320.02416000000005</v>
      </c>
      <c r="H124" s="32"/>
      <c r="I124" s="32">
        <f t="shared" si="52"/>
        <v>22401.691200000005</v>
      </c>
      <c r="J124" s="32">
        <f t="shared" si="53"/>
        <v>4608.3479040000011</v>
      </c>
      <c r="K124" s="128">
        <v>0</v>
      </c>
      <c r="L124" s="31"/>
      <c r="M124" s="459">
        <v>4444.7800000000007</v>
      </c>
      <c r="N124" s="33">
        <f t="shared" si="57"/>
        <v>4800.3624000000009</v>
      </c>
      <c r="O124" s="34">
        <v>70</v>
      </c>
      <c r="P124" s="34">
        <v>14.4</v>
      </c>
      <c r="Q124" s="35">
        <v>43374</v>
      </c>
      <c r="R124" s="36">
        <v>0</v>
      </c>
      <c r="S124" s="186">
        <f t="shared" si="54"/>
        <v>4800.3624000000009</v>
      </c>
      <c r="T124" s="187">
        <f t="shared" si="58"/>
        <v>4444.7800000000007</v>
      </c>
      <c r="U124" s="187">
        <f t="shared" si="59"/>
        <v>1600.1208000000001</v>
      </c>
      <c r="V124" s="39">
        <v>0.08</v>
      </c>
      <c r="W124" s="40">
        <v>44377</v>
      </c>
      <c r="X124" s="41">
        <f t="shared" si="55"/>
        <v>32</v>
      </c>
      <c r="Y124" s="42">
        <f t="shared" si="56"/>
        <v>2.6666666666666665</v>
      </c>
    </row>
    <row r="125" spans="1:179" x14ac:dyDescent="0.2">
      <c r="A125" s="52"/>
      <c r="B125" s="104" t="s">
        <v>160</v>
      </c>
      <c r="C125" s="105" t="s">
        <v>50</v>
      </c>
      <c r="D125" s="45" t="s">
        <v>30</v>
      </c>
      <c r="E125" s="106">
        <v>39448</v>
      </c>
      <c r="F125" s="32">
        <v>3830.6522160000009</v>
      </c>
      <c r="G125" s="32">
        <f t="shared" si="51"/>
        <v>255.37681440000006</v>
      </c>
      <c r="H125" s="32"/>
      <c r="I125" s="32">
        <f t="shared" si="52"/>
        <v>17876.377008000003</v>
      </c>
      <c r="J125" s="32">
        <f t="shared" si="53"/>
        <v>4903.2348364800009</v>
      </c>
      <c r="K125" s="128">
        <f>F125/15*12+R125+R125</f>
        <v>3837.8017728000004</v>
      </c>
      <c r="L125" s="31"/>
      <c r="M125" s="459">
        <v>3546.9002000000005</v>
      </c>
      <c r="N125" s="33">
        <f t="shared" si="57"/>
        <v>3830.6522160000009</v>
      </c>
      <c r="O125" s="34">
        <v>70</v>
      </c>
      <c r="P125" s="34">
        <v>19.2</v>
      </c>
      <c r="Q125" s="35">
        <v>39448</v>
      </c>
      <c r="R125" s="36">
        <v>386.64</v>
      </c>
      <c r="S125" s="186">
        <f>M125*(1+V125)</f>
        <v>3830.6522160000009</v>
      </c>
      <c r="T125" s="187">
        <f t="shared" si="58"/>
        <v>3546.9002000000005</v>
      </c>
      <c r="U125" s="187">
        <f t="shared" si="59"/>
        <v>1276.8840720000003</v>
      </c>
      <c r="V125" s="39">
        <v>0.08</v>
      </c>
      <c r="W125" s="40">
        <v>44377</v>
      </c>
      <c r="X125" s="41">
        <f t="shared" si="55"/>
        <v>161</v>
      </c>
      <c r="Y125" s="42">
        <f>X125/12</f>
        <v>13.416666666666666</v>
      </c>
    </row>
    <row r="126" spans="1:179" x14ac:dyDescent="0.2">
      <c r="A126" s="52"/>
      <c r="B126" s="104" t="s">
        <v>161</v>
      </c>
      <c r="C126" s="105" t="s">
        <v>61</v>
      </c>
      <c r="D126" s="45" t="s">
        <v>30</v>
      </c>
      <c r="E126" s="106">
        <v>42248</v>
      </c>
      <c r="F126" s="32">
        <v>4127.76</v>
      </c>
      <c r="G126" s="32">
        <f t="shared" si="51"/>
        <v>275.18400000000003</v>
      </c>
      <c r="H126" s="32"/>
      <c r="I126" s="32">
        <f t="shared" si="52"/>
        <v>19262.88</v>
      </c>
      <c r="J126" s="32">
        <f t="shared" si="53"/>
        <v>5283.5328</v>
      </c>
      <c r="K126" s="128">
        <v>0</v>
      </c>
      <c r="L126" s="31"/>
      <c r="M126" s="459">
        <v>3822</v>
      </c>
      <c r="N126" s="33">
        <f t="shared" si="57"/>
        <v>4127.76</v>
      </c>
      <c r="O126" s="34">
        <v>70</v>
      </c>
      <c r="P126" s="34">
        <v>19.2</v>
      </c>
      <c r="Q126" s="35">
        <v>42248</v>
      </c>
      <c r="R126" s="36">
        <v>0</v>
      </c>
      <c r="S126" s="186">
        <f t="shared" si="54"/>
        <v>4127.76</v>
      </c>
      <c r="T126" s="187">
        <f t="shared" si="58"/>
        <v>3822</v>
      </c>
      <c r="U126" s="187">
        <f t="shared" si="59"/>
        <v>1375.92</v>
      </c>
      <c r="V126" s="39">
        <v>0.08</v>
      </c>
      <c r="W126" s="40">
        <v>44377</v>
      </c>
      <c r="X126" s="41">
        <f t="shared" si="55"/>
        <v>69</v>
      </c>
      <c r="Y126" s="42">
        <f t="shared" si="56"/>
        <v>5.75</v>
      </c>
      <c r="FW126" s="1">
        <v>2222222222222</v>
      </c>
    </row>
    <row r="127" spans="1:179" ht="13.5" customHeight="1" thickBot="1" x14ac:dyDescent="0.25">
      <c r="A127" s="52"/>
      <c r="B127" s="110"/>
      <c r="C127" s="110"/>
      <c r="D127" s="111"/>
      <c r="E127" s="64"/>
      <c r="F127" s="64"/>
      <c r="G127" s="64"/>
      <c r="H127" s="64"/>
      <c r="I127" s="64"/>
      <c r="J127" s="64"/>
      <c r="K127" s="64"/>
      <c r="L127" s="31"/>
      <c r="M127" s="192"/>
      <c r="N127" s="64"/>
      <c r="P127" s="111"/>
      <c r="Q127" s="112"/>
      <c r="R127" s="193"/>
      <c r="S127" s="194"/>
      <c r="U127" s="195"/>
      <c r="V127" s="66"/>
      <c r="W127" s="68"/>
      <c r="X127" s="8"/>
    </row>
    <row r="128" spans="1:179" ht="13.5" thickBot="1" x14ac:dyDescent="0.25">
      <c r="B128" s="69" t="s">
        <v>39</v>
      </c>
      <c r="C128" s="69" t="s">
        <v>40</v>
      </c>
      <c r="D128" s="70"/>
      <c r="E128" s="196" t="s">
        <v>41</v>
      </c>
      <c r="F128" s="72">
        <f t="shared" ref="F128:K128" si="60">SUM(F120:F126)</f>
        <v>40306.956264000008</v>
      </c>
      <c r="G128" s="72">
        <f t="shared" si="60"/>
        <v>2687.1304176000008</v>
      </c>
      <c r="H128" s="72">
        <f t="shared" si="60"/>
        <v>0</v>
      </c>
      <c r="I128" s="72">
        <f t="shared" si="60"/>
        <v>188099.12923200004</v>
      </c>
      <c r="J128" s="72">
        <f>SUM(J120:J126)</f>
        <v>44544.269122560007</v>
      </c>
      <c r="K128" s="197">
        <f t="shared" si="60"/>
        <v>7921.929772800001</v>
      </c>
      <c r="L128" s="73"/>
      <c r="M128" s="5" t="s">
        <v>42</v>
      </c>
      <c r="N128" s="64"/>
      <c r="S128" s="84"/>
      <c r="V128" s="66"/>
      <c r="W128" s="67"/>
      <c r="X128" s="68"/>
    </row>
    <row r="129" spans="1:25" ht="19.5" customHeight="1" thickBot="1" x14ac:dyDescent="0.25">
      <c r="B129" s="69" t="s">
        <v>43</v>
      </c>
      <c r="C129" s="69" t="s">
        <v>44</v>
      </c>
      <c r="E129" s="173" t="s">
        <v>46</v>
      </c>
      <c r="F129" s="75">
        <f>F128*24</f>
        <v>967366.95033600018</v>
      </c>
      <c r="G129" s="75">
        <f>G128*5</f>
        <v>13435.652088000004</v>
      </c>
      <c r="H129" s="75">
        <f>H128*24</f>
        <v>0</v>
      </c>
      <c r="I129" s="75">
        <f>I128</f>
        <v>188099.12923200004</v>
      </c>
      <c r="J129" s="75">
        <f>J128</f>
        <v>44544.269122560007</v>
      </c>
      <c r="K129" s="76">
        <f>K128</f>
        <v>7921.929772800001</v>
      </c>
      <c r="L129" s="73"/>
      <c r="M129" s="77">
        <f>SUM(F129:K129)</f>
        <v>1221367.9305513604</v>
      </c>
      <c r="N129" s="78"/>
      <c r="O129" s="80"/>
      <c r="P129" s="80"/>
      <c r="Q129" s="176"/>
      <c r="R129" s="81">
        <f>SUM(R57:R126)</f>
        <v>20664.839999999997</v>
      </c>
      <c r="S129" s="103">
        <f>M129*(1+V129)</f>
        <v>1319077.3649954693</v>
      </c>
      <c r="T129" s="77"/>
      <c r="U129" s="177">
        <f>SUM(U120:U128)</f>
        <v>13435.652088000003</v>
      </c>
      <c r="V129" s="82">
        <v>0.08</v>
      </c>
      <c r="W129" s="83"/>
      <c r="X129" s="178"/>
      <c r="Y129" s="179"/>
    </row>
    <row r="130" spans="1:25" x14ac:dyDescent="0.2">
      <c r="N130" s="64"/>
      <c r="S130" s="84"/>
      <c r="V130" s="66"/>
      <c r="W130" s="67"/>
      <c r="X130" s="68"/>
    </row>
    <row r="131" spans="1:25" ht="15" x14ac:dyDescent="0.25">
      <c r="B131" s="13"/>
      <c r="C131" s="13"/>
      <c r="D131" s="13" t="s">
        <v>639</v>
      </c>
      <c r="E131" s="13"/>
      <c r="F131" s="13"/>
      <c r="G131" s="13"/>
      <c r="H131" s="13"/>
      <c r="I131" s="14"/>
      <c r="J131" s="13"/>
      <c r="K131" s="13"/>
      <c r="L131" s="15"/>
      <c r="N131" s="64"/>
      <c r="S131" s="84"/>
      <c r="V131" s="66"/>
      <c r="W131" s="67"/>
      <c r="X131" s="68"/>
    </row>
    <row r="132" spans="1:25" ht="15" x14ac:dyDescent="0.25">
      <c r="B132" s="16" t="s">
        <v>4</v>
      </c>
      <c r="C132" s="16"/>
      <c r="D132" s="475" t="s">
        <v>162</v>
      </c>
      <c r="E132" s="475"/>
      <c r="F132" s="14"/>
      <c r="G132" s="14"/>
      <c r="H132" s="476"/>
      <c r="I132" s="476"/>
      <c r="J132" s="14"/>
      <c r="K132" s="17"/>
      <c r="L132" s="18"/>
      <c r="N132" s="64"/>
      <c r="S132" s="84"/>
      <c r="V132" s="66"/>
      <c r="W132" s="67"/>
      <c r="X132" s="68"/>
    </row>
    <row r="133" spans="1:25" ht="14.25" thickBot="1" x14ac:dyDescent="0.25">
      <c r="B133" s="19"/>
      <c r="C133" s="19"/>
      <c r="D133" s="19"/>
      <c r="E133" s="19"/>
      <c r="F133" s="20"/>
      <c r="G133" s="20"/>
      <c r="H133" s="20"/>
      <c r="I133" s="20"/>
      <c r="J133" s="20"/>
      <c r="K133" s="22"/>
      <c r="L133" s="19"/>
      <c r="N133" s="64"/>
      <c r="S133" s="84"/>
      <c r="V133" s="66"/>
      <c r="W133" s="67"/>
      <c r="X133" s="68"/>
    </row>
    <row r="134" spans="1:25" ht="12.75" customHeight="1" x14ac:dyDescent="0.2">
      <c r="B134" s="503" t="s">
        <v>6</v>
      </c>
      <c r="C134" s="499" t="s">
        <v>7</v>
      </c>
      <c r="D134" s="499" t="s">
        <v>8</v>
      </c>
      <c r="E134" s="499" t="s">
        <v>9</v>
      </c>
      <c r="F134" s="483" t="s">
        <v>10</v>
      </c>
      <c r="G134" s="483" t="s">
        <v>11</v>
      </c>
      <c r="H134" s="483" t="s">
        <v>12</v>
      </c>
      <c r="I134" s="499" t="s">
        <v>13</v>
      </c>
      <c r="J134" s="499" t="s">
        <v>14</v>
      </c>
      <c r="K134" s="501" t="s">
        <v>15</v>
      </c>
      <c r="L134" s="23"/>
      <c r="M134" s="495" t="s">
        <v>16</v>
      </c>
      <c r="N134" s="495" t="s">
        <v>17</v>
      </c>
      <c r="O134" s="489" t="s">
        <v>18</v>
      </c>
      <c r="P134" s="489" t="s">
        <v>19</v>
      </c>
      <c r="Q134" s="489" t="s">
        <v>20</v>
      </c>
      <c r="R134" s="490" t="s">
        <v>21</v>
      </c>
      <c r="S134" s="495" t="s">
        <v>22</v>
      </c>
      <c r="T134" s="495" t="s">
        <v>16</v>
      </c>
      <c r="U134" s="498" t="s">
        <v>23</v>
      </c>
      <c r="V134" s="498" t="s">
        <v>24</v>
      </c>
      <c r="W134" s="489" t="s">
        <v>25</v>
      </c>
      <c r="X134" s="489" t="s">
        <v>26</v>
      </c>
      <c r="Y134" s="497" t="s">
        <v>27</v>
      </c>
    </row>
    <row r="135" spans="1:25" ht="13.5" thickBot="1" x14ac:dyDescent="0.25">
      <c r="B135" s="504"/>
      <c r="C135" s="500"/>
      <c r="D135" s="500"/>
      <c r="E135" s="500"/>
      <c r="F135" s="484"/>
      <c r="G135" s="484"/>
      <c r="H135" s="484"/>
      <c r="I135" s="500"/>
      <c r="J135" s="500"/>
      <c r="K135" s="502"/>
      <c r="L135" s="23"/>
      <c r="M135" s="495"/>
      <c r="N135" s="495"/>
      <c r="O135" s="489"/>
      <c r="P135" s="489"/>
      <c r="Q135" s="489"/>
      <c r="R135" s="490"/>
      <c r="S135" s="495"/>
      <c r="T135" s="495"/>
      <c r="U135" s="498"/>
      <c r="V135" s="498"/>
      <c r="W135" s="489"/>
      <c r="X135" s="489"/>
      <c r="Y135" s="497"/>
    </row>
    <row r="136" spans="1:25" ht="13.5" thickBot="1" x14ac:dyDescent="0.25">
      <c r="B136" s="99"/>
      <c r="C136" s="99"/>
      <c r="D136" s="100"/>
      <c r="E136" s="99"/>
      <c r="F136" s="198"/>
      <c r="G136" s="198"/>
      <c r="H136" s="198"/>
      <c r="I136" s="198"/>
      <c r="J136" s="198"/>
      <c r="K136" s="199"/>
      <c r="N136" s="64"/>
      <c r="S136" s="84"/>
      <c r="V136" s="66"/>
      <c r="W136" s="67"/>
      <c r="X136" s="68"/>
    </row>
    <row r="137" spans="1:25" ht="12.75" customHeight="1" x14ac:dyDescent="0.2">
      <c r="A137" s="52"/>
      <c r="B137" s="25" t="s">
        <v>163</v>
      </c>
      <c r="C137" s="26" t="s">
        <v>164</v>
      </c>
      <c r="D137" s="27" t="s">
        <v>30</v>
      </c>
      <c r="E137" s="28">
        <v>42248</v>
      </c>
      <c r="F137" s="29">
        <v>4210.2552600000008</v>
      </c>
      <c r="G137" s="29">
        <f t="shared" ref="G137:G145" si="61">F137/15</f>
        <v>280.68368400000003</v>
      </c>
      <c r="H137" s="29"/>
      <c r="I137" s="29">
        <f>F137/15*O97</f>
        <v>19647.857880000003</v>
      </c>
      <c r="J137" s="29">
        <f t="shared" ref="J137:J145" si="62">F137/15*P137</f>
        <v>5389.1267328000004</v>
      </c>
      <c r="K137" s="30">
        <f>F137/15*12+R137+R137</f>
        <v>4038.5242079999998</v>
      </c>
      <c r="L137" s="31"/>
      <c r="M137" s="453">
        <v>3898.3845000000006</v>
      </c>
      <c r="N137" s="87">
        <f>M137*(1+8%)</f>
        <v>4210.2552600000008</v>
      </c>
      <c r="O137" s="80">
        <v>70</v>
      </c>
      <c r="P137" s="179">
        <v>19.2</v>
      </c>
      <c r="Q137" s="35">
        <v>42248</v>
      </c>
      <c r="R137" s="36">
        <v>335.16</v>
      </c>
      <c r="S137" s="186">
        <f t="shared" ref="S137:S145" si="63">M137*(1+V137)</f>
        <v>4210.2552600000008</v>
      </c>
      <c r="T137" s="187">
        <f>S137/1.08</f>
        <v>3898.3845000000006</v>
      </c>
      <c r="U137" s="187">
        <f>S137/15*5</f>
        <v>1403.4184200000002</v>
      </c>
      <c r="V137" s="39">
        <v>0.08</v>
      </c>
      <c r="W137" s="40">
        <v>44377</v>
      </c>
      <c r="X137" s="41">
        <f t="shared" ref="X137:X145" si="64">(YEAR(W137)-YEAR(E137))*12+MONTH(W137)-MONTH(E137)</f>
        <v>69</v>
      </c>
      <c r="Y137" s="42">
        <f t="shared" ref="Y137:Y145" si="65">X137/12</f>
        <v>5.75</v>
      </c>
    </row>
    <row r="138" spans="1:25" ht="12.75" customHeight="1" x14ac:dyDescent="0.2">
      <c r="A138" s="52"/>
      <c r="B138" s="88" t="s">
        <v>165</v>
      </c>
      <c r="C138" s="89" t="s">
        <v>166</v>
      </c>
      <c r="D138" s="90" t="s">
        <v>30</v>
      </c>
      <c r="E138" s="91">
        <v>43344</v>
      </c>
      <c r="F138" s="124">
        <v>6182.46</v>
      </c>
      <c r="G138" s="124">
        <f t="shared" si="61"/>
        <v>412.16399999999999</v>
      </c>
      <c r="H138" s="124"/>
      <c r="I138" s="124">
        <f>F138/15*O98</f>
        <v>28851.48</v>
      </c>
      <c r="J138" s="124">
        <f t="shared" si="62"/>
        <v>5935.1616000000004</v>
      </c>
      <c r="K138" s="125">
        <v>0</v>
      </c>
      <c r="L138" s="31"/>
      <c r="M138" s="469">
        <v>5724.5</v>
      </c>
      <c r="N138" s="87">
        <f t="shared" ref="N138:N145" si="66">M138*(1+8%)</f>
        <v>6182.46</v>
      </c>
      <c r="O138" s="80">
        <v>70</v>
      </c>
      <c r="P138" s="179">
        <v>14.4</v>
      </c>
      <c r="Q138" s="35">
        <v>43344</v>
      </c>
      <c r="R138" s="36">
        <v>0</v>
      </c>
      <c r="S138" s="186">
        <f t="shared" si="63"/>
        <v>6182.46</v>
      </c>
      <c r="T138" s="187">
        <f t="shared" ref="T138:T145" si="67">S138/1.08</f>
        <v>5724.5</v>
      </c>
      <c r="U138" s="187">
        <f t="shared" ref="U138:U145" si="68">S138/15*5</f>
        <v>2060.8199999999997</v>
      </c>
      <c r="V138" s="39">
        <v>0.08</v>
      </c>
      <c r="W138" s="40">
        <v>44377</v>
      </c>
      <c r="X138" s="41">
        <f t="shared" si="64"/>
        <v>33</v>
      </c>
      <c r="Y138" s="42">
        <f t="shared" si="65"/>
        <v>2.75</v>
      </c>
    </row>
    <row r="139" spans="1:25" x14ac:dyDescent="0.2">
      <c r="A139" s="52"/>
      <c r="B139" s="88" t="s">
        <v>167</v>
      </c>
      <c r="C139" s="89" t="s">
        <v>168</v>
      </c>
      <c r="D139" s="90" t="s">
        <v>51</v>
      </c>
      <c r="E139" s="91">
        <v>34099</v>
      </c>
      <c r="F139" s="124">
        <v>6879.8414880000018</v>
      </c>
      <c r="G139" s="124">
        <f t="shared" si="61"/>
        <v>458.65609920000014</v>
      </c>
      <c r="H139" s="124"/>
      <c r="I139" s="124">
        <f>F139/15*O99</f>
        <v>32105.92694400001</v>
      </c>
      <c r="J139" s="124">
        <f t="shared" si="62"/>
        <v>8806.1971046400031</v>
      </c>
      <c r="K139" s="125">
        <f>F139/15*12+R139+R139</f>
        <v>7258.8731904000015</v>
      </c>
      <c r="L139" s="31"/>
      <c r="M139" s="469">
        <v>6370.2236000000012</v>
      </c>
      <c r="N139" s="87">
        <f t="shared" si="66"/>
        <v>6879.8414880000018</v>
      </c>
      <c r="O139" s="80">
        <v>70</v>
      </c>
      <c r="P139" s="179">
        <v>19.2</v>
      </c>
      <c r="Q139" s="35">
        <v>34099</v>
      </c>
      <c r="R139" s="36">
        <v>877.5</v>
      </c>
      <c r="S139" s="186">
        <f t="shared" si="63"/>
        <v>6879.8414880000018</v>
      </c>
      <c r="T139" s="187">
        <f t="shared" si="67"/>
        <v>6370.2236000000012</v>
      </c>
      <c r="U139" s="187">
        <f t="shared" si="68"/>
        <v>2293.2804960000008</v>
      </c>
      <c r="V139" s="39">
        <v>0.08</v>
      </c>
      <c r="W139" s="40">
        <v>44377</v>
      </c>
      <c r="X139" s="41">
        <f t="shared" si="64"/>
        <v>337</v>
      </c>
      <c r="Y139" s="42">
        <f t="shared" si="65"/>
        <v>28.083333333333332</v>
      </c>
    </row>
    <row r="140" spans="1:25" x14ac:dyDescent="0.2">
      <c r="A140" s="52"/>
      <c r="B140" s="104" t="s">
        <v>169</v>
      </c>
      <c r="C140" s="105" t="s">
        <v>170</v>
      </c>
      <c r="D140" s="45" t="s">
        <v>30</v>
      </c>
      <c r="E140" s="106">
        <v>43374</v>
      </c>
      <c r="F140" s="47">
        <v>6879.8414880000018</v>
      </c>
      <c r="G140" s="47">
        <f t="shared" si="61"/>
        <v>458.65609920000014</v>
      </c>
      <c r="H140" s="47"/>
      <c r="I140" s="124">
        <f>F140/15*O102</f>
        <v>32105.92694400001</v>
      </c>
      <c r="J140" s="124">
        <f t="shared" si="62"/>
        <v>6604.6478284800023</v>
      </c>
      <c r="K140" s="49">
        <v>0</v>
      </c>
      <c r="L140" s="31"/>
      <c r="M140" s="454">
        <v>6370.2236000000012</v>
      </c>
      <c r="N140" s="87">
        <f t="shared" si="66"/>
        <v>6879.8414880000018</v>
      </c>
      <c r="O140" s="80">
        <v>70</v>
      </c>
      <c r="P140" s="179">
        <v>14.4</v>
      </c>
      <c r="Q140" s="35">
        <v>43374</v>
      </c>
      <c r="R140" s="36">
        <v>0</v>
      </c>
      <c r="S140" s="186">
        <f t="shared" si="63"/>
        <v>6879.8414880000018</v>
      </c>
      <c r="T140" s="187">
        <f t="shared" si="67"/>
        <v>6370.2236000000012</v>
      </c>
      <c r="U140" s="187">
        <f t="shared" si="68"/>
        <v>2293.2804960000008</v>
      </c>
      <c r="V140" s="39">
        <v>0.08</v>
      </c>
      <c r="W140" s="40">
        <v>44377</v>
      </c>
      <c r="X140" s="41">
        <f t="shared" si="64"/>
        <v>32</v>
      </c>
      <c r="Y140" s="42">
        <f t="shared" si="65"/>
        <v>2.6666666666666665</v>
      </c>
    </row>
    <row r="141" spans="1:25" x14ac:dyDescent="0.2">
      <c r="A141" s="52"/>
      <c r="B141" s="88" t="s">
        <v>171</v>
      </c>
      <c r="C141" s="89" t="s">
        <v>61</v>
      </c>
      <c r="D141" s="45" t="s">
        <v>30</v>
      </c>
      <c r="E141" s="106">
        <v>43359</v>
      </c>
      <c r="F141" s="124">
        <v>6879.8414880000018</v>
      </c>
      <c r="G141" s="47">
        <f t="shared" si="61"/>
        <v>458.65609920000014</v>
      </c>
      <c r="H141" s="124"/>
      <c r="I141" s="124">
        <f>F141/15*O104</f>
        <v>32105.92694400001</v>
      </c>
      <c r="J141" s="124">
        <f t="shared" si="62"/>
        <v>6604.6478284800023</v>
      </c>
      <c r="K141" s="49">
        <v>0</v>
      </c>
      <c r="L141" s="31"/>
      <c r="M141" s="469">
        <v>6370.2236000000012</v>
      </c>
      <c r="N141" s="87">
        <f t="shared" si="66"/>
        <v>6879.8414880000018</v>
      </c>
      <c r="O141" s="80">
        <v>70</v>
      </c>
      <c r="P141" s="179">
        <v>14.4</v>
      </c>
      <c r="Q141" s="35">
        <v>43359</v>
      </c>
      <c r="R141" s="36">
        <v>0</v>
      </c>
      <c r="S141" s="186">
        <f t="shared" si="63"/>
        <v>6879.8414880000018</v>
      </c>
      <c r="T141" s="187">
        <f t="shared" si="67"/>
        <v>6370.2236000000012</v>
      </c>
      <c r="U141" s="187">
        <f t="shared" si="68"/>
        <v>2293.2804960000008</v>
      </c>
      <c r="V141" s="39">
        <v>0.08</v>
      </c>
      <c r="W141" s="40">
        <v>44377</v>
      </c>
      <c r="X141" s="41">
        <f t="shared" si="64"/>
        <v>33</v>
      </c>
      <c r="Y141" s="42">
        <f t="shared" si="65"/>
        <v>2.75</v>
      </c>
    </row>
    <row r="142" spans="1:25" x14ac:dyDescent="0.2">
      <c r="A142" s="52"/>
      <c r="B142" s="104" t="s">
        <v>172</v>
      </c>
      <c r="C142" s="105" t="s">
        <v>173</v>
      </c>
      <c r="D142" s="45" t="s">
        <v>30</v>
      </c>
      <c r="E142" s="106">
        <v>43359</v>
      </c>
      <c r="F142" s="47">
        <v>9190.4868000000024</v>
      </c>
      <c r="G142" s="47">
        <f t="shared" si="61"/>
        <v>612.69912000000011</v>
      </c>
      <c r="H142" s="47">
        <v>2000</v>
      </c>
      <c r="I142" s="124">
        <f>F142/15*O105</f>
        <v>42888.938400000006</v>
      </c>
      <c r="J142" s="124">
        <f t="shared" si="62"/>
        <v>8822.8673280000021</v>
      </c>
      <c r="K142" s="49">
        <v>0</v>
      </c>
      <c r="L142" s="31"/>
      <c r="M142" s="454">
        <v>8509.7100000000009</v>
      </c>
      <c r="N142" s="87">
        <f t="shared" si="66"/>
        <v>9190.4868000000024</v>
      </c>
      <c r="O142" s="80">
        <v>70</v>
      </c>
      <c r="P142" s="179">
        <v>14.4</v>
      </c>
      <c r="Q142" s="35">
        <v>43359</v>
      </c>
      <c r="R142" s="36">
        <v>0</v>
      </c>
      <c r="S142" s="186">
        <f t="shared" si="63"/>
        <v>9190.4868000000024</v>
      </c>
      <c r="T142" s="187">
        <f t="shared" si="67"/>
        <v>8509.7100000000009</v>
      </c>
      <c r="U142" s="187">
        <f t="shared" si="68"/>
        <v>3063.4956000000006</v>
      </c>
      <c r="V142" s="39">
        <v>0.08</v>
      </c>
      <c r="W142" s="40">
        <v>44377</v>
      </c>
      <c r="X142" s="41">
        <f t="shared" si="64"/>
        <v>33</v>
      </c>
      <c r="Y142" s="42">
        <f t="shared" si="65"/>
        <v>2.75</v>
      </c>
    </row>
    <row r="143" spans="1:25" x14ac:dyDescent="0.2">
      <c r="A143" s="52"/>
      <c r="B143" s="104" t="s">
        <v>174</v>
      </c>
      <c r="C143" s="105" t="s">
        <v>175</v>
      </c>
      <c r="D143" s="45" t="s">
        <v>34</v>
      </c>
      <c r="E143" s="106">
        <v>43344</v>
      </c>
      <c r="F143" s="47">
        <v>19263.308868000004</v>
      </c>
      <c r="G143" s="47">
        <f t="shared" si="61"/>
        <v>1284.2205912000002</v>
      </c>
      <c r="H143" s="47">
        <v>3905</v>
      </c>
      <c r="I143" s="124">
        <f>F143/15*O106</f>
        <v>89895.441384000005</v>
      </c>
      <c r="J143" s="124">
        <f t="shared" si="62"/>
        <v>18492.776513280001</v>
      </c>
      <c r="K143" s="49">
        <v>0</v>
      </c>
      <c r="L143" s="31"/>
      <c r="M143" s="454">
        <v>17836.397100000002</v>
      </c>
      <c r="N143" s="87">
        <f t="shared" si="66"/>
        <v>19263.308868000004</v>
      </c>
      <c r="O143" s="80">
        <v>70</v>
      </c>
      <c r="P143" s="179">
        <v>14.4</v>
      </c>
      <c r="Q143" s="35">
        <v>43344</v>
      </c>
      <c r="R143" s="36">
        <v>0</v>
      </c>
      <c r="S143" s="186">
        <f t="shared" si="63"/>
        <v>19263.308868000004</v>
      </c>
      <c r="T143" s="187">
        <f t="shared" si="67"/>
        <v>17836.397100000002</v>
      </c>
      <c r="U143" s="187">
        <f t="shared" si="68"/>
        <v>6421.1029560000006</v>
      </c>
      <c r="V143" s="39">
        <v>0.08</v>
      </c>
      <c r="W143" s="40">
        <v>44377</v>
      </c>
      <c r="X143" s="41">
        <f t="shared" si="64"/>
        <v>33</v>
      </c>
      <c r="Y143" s="42">
        <f t="shared" si="65"/>
        <v>2.75</v>
      </c>
    </row>
    <row r="144" spans="1:25" x14ac:dyDescent="0.2">
      <c r="A144" s="52"/>
      <c r="B144" s="104" t="s">
        <v>176</v>
      </c>
      <c r="C144" s="105" t="s">
        <v>50</v>
      </c>
      <c r="D144" s="45" t="s">
        <v>51</v>
      </c>
      <c r="E144" s="106">
        <v>37941</v>
      </c>
      <c r="F144" s="47">
        <v>4369.7627280000006</v>
      </c>
      <c r="G144" s="47">
        <f t="shared" si="61"/>
        <v>291.31751520000006</v>
      </c>
      <c r="H144" s="47">
        <v>300</v>
      </c>
      <c r="I144" s="124">
        <f>F144/15*O107</f>
        <v>20392.226064000006</v>
      </c>
      <c r="J144" s="124">
        <f t="shared" si="62"/>
        <v>5593.2962918400008</v>
      </c>
      <c r="K144" s="49">
        <f>F144/15*12+R144+R144</f>
        <v>4554.4501824000008</v>
      </c>
      <c r="L144" s="31"/>
      <c r="M144" s="454">
        <v>4046.0766000000003</v>
      </c>
      <c r="N144" s="87">
        <f t="shared" si="66"/>
        <v>4369.7627280000006</v>
      </c>
      <c r="O144" s="80">
        <v>70</v>
      </c>
      <c r="P144" s="179">
        <v>19.2</v>
      </c>
      <c r="Q144" s="35">
        <v>37941</v>
      </c>
      <c r="R144" s="36">
        <v>529.32000000000005</v>
      </c>
      <c r="S144" s="186">
        <f t="shared" si="63"/>
        <v>4369.7627280000006</v>
      </c>
      <c r="T144" s="187">
        <f t="shared" si="67"/>
        <v>4046.0766000000003</v>
      </c>
      <c r="U144" s="187">
        <f t="shared" si="68"/>
        <v>1456.5875760000004</v>
      </c>
      <c r="V144" s="39">
        <v>0.08</v>
      </c>
      <c r="W144" s="40">
        <v>44377</v>
      </c>
      <c r="X144" s="41">
        <f t="shared" si="64"/>
        <v>211</v>
      </c>
      <c r="Y144" s="42">
        <f t="shared" si="65"/>
        <v>17.583333333333332</v>
      </c>
    </row>
    <row r="145" spans="1:26" ht="13.5" thickBot="1" x14ac:dyDescent="0.25">
      <c r="A145" s="52"/>
      <c r="B145" s="104" t="s">
        <v>177</v>
      </c>
      <c r="C145" s="105" t="s">
        <v>178</v>
      </c>
      <c r="D145" s="45" t="s">
        <v>34</v>
      </c>
      <c r="E145" s="106">
        <v>43344</v>
      </c>
      <c r="F145" s="47">
        <v>8655.4440000000013</v>
      </c>
      <c r="G145" s="47">
        <f t="shared" si="61"/>
        <v>577.02960000000007</v>
      </c>
      <c r="H145" s="47">
        <v>2000</v>
      </c>
      <c r="I145" s="124">
        <f>F145/15*O108</f>
        <v>40392.072000000007</v>
      </c>
      <c r="J145" s="124">
        <f t="shared" si="62"/>
        <v>8309.2262400000018</v>
      </c>
      <c r="K145" s="49">
        <v>0</v>
      </c>
      <c r="L145" s="31"/>
      <c r="M145" s="454">
        <v>8014.3</v>
      </c>
      <c r="N145" s="87">
        <f t="shared" si="66"/>
        <v>8655.4440000000013</v>
      </c>
      <c r="O145" s="80">
        <v>70</v>
      </c>
      <c r="P145" s="179">
        <v>14.4</v>
      </c>
      <c r="Q145" s="35">
        <v>43344</v>
      </c>
      <c r="R145" s="36">
        <v>0</v>
      </c>
      <c r="S145" s="186">
        <f t="shared" si="63"/>
        <v>8655.4440000000013</v>
      </c>
      <c r="T145" s="187">
        <f t="shared" si="67"/>
        <v>8014.3000000000011</v>
      </c>
      <c r="U145" s="187">
        <f t="shared" si="68"/>
        <v>2885.1480000000001</v>
      </c>
      <c r="V145" s="39">
        <v>0.08</v>
      </c>
      <c r="W145" s="40">
        <v>44377</v>
      </c>
      <c r="X145" s="41">
        <f t="shared" si="64"/>
        <v>33</v>
      </c>
      <c r="Y145" s="42">
        <f t="shared" si="65"/>
        <v>2.75</v>
      </c>
    </row>
    <row r="146" spans="1:26" ht="16.5" customHeight="1" thickBot="1" x14ac:dyDescent="0.25">
      <c r="B146" s="97"/>
      <c r="C146" s="97"/>
      <c r="D146" s="98"/>
      <c r="E146" s="99"/>
      <c r="F146" s="100"/>
      <c r="G146" s="100"/>
      <c r="H146" s="100"/>
      <c r="I146" s="100"/>
      <c r="J146" s="100"/>
      <c r="K146" s="101"/>
      <c r="N146" s="64"/>
      <c r="R146" s="185"/>
      <c r="S146" s="84"/>
      <c r="V146" s="66"/>
      <c r="W146" s="67"/>
      <c r="X146" s="68"/>
    </row>
    <row r="147" spans="1:26" x14ac:dyDescent="0.2">
      <c r="B147" s="69" t="s">
        <v>39</v>
      </c>
      <c r="C147" s="69" t="s">
        <v>40</v>
      </c>
      <c r="D147" s="70"/>
      <c r="E147" s="71" t="s">
        <v>41</v>
      </c>
      <c r="F147" s="200">
        <f t="shared" ref="F147:K147" si="69">SUM(F137:F146)</f>
        <v>72511.242120000024</v>
      </c>
      <c r="G147" s="200">
        <f t="shared" si="69"/>
        <v>4834.082808000001</v>
      </c>
      <c r="H147" s="200">
        <f t="shared" si="69"/>
        <v>8205</v>
      </c>
      <c r="I147" s="200">
        <f t="shared" si="69"/>
        <v>338385.79656000005</v>
      </c>
      <c r="J147" s="200">
        <f t="shared" si="69"/>
        <v>74557.947467520018</v>
      </c>
      <c r="K147" s="200">
        <f t="shared" si="69"/>
        <v>15851.8475808</v>
      </c>
      <c r="L147" s="73"/>
      <c r="M147" s="5" t="s">
        <v>42</v>
      </c>
      <c r="N147" s="64"/>
      <c r="R147" s="185"/>
      <c r="S147" s="84"/>
      <c r="V147" s="66"/>
      <c r="W147" s="67"/>
      <c r="X147" s="68"/>
    </row>
    <row r="148" spans="1:26" ht="19.5" customHeight="1" thickBot="1" x14ac:dyDescent="0.25">
      <c r="B148" s="69" t="s">
        <v>43</v>
      </c>
      <c r="C148" s="69" t="s">
        <v>44</v>
      </c>
      <c r="E148" s="74" t="s">
        <v>46</v>
      </c>
      <c r="F148" s="201">
        <f>F147*24</f>
        <v>1740269.8108800007</v>
      </c>
      <c r="G148" s="201">
        <f>G147*5</f>
        <v>24170.414040000003</v>
      </c>
      <c r="H148" s="201">
        <f>H147*24</f>
        <v>196920</v>
      </c>
      <c r="I148" s="201">
        <f>I147</f>
        <v>338385.79656000005</v>
      </c>
      <c r="J148" s="201">
        <f>J147</f>
        <v>74557.947467520018</v>
      </c>
      <c r="K148" s="201">
        <f>K147</f>
        <v>15851.8475808</v>
      </c>
      <c r="L148" s="73"/>
      <c r="M148" s="202">
        <f>SUM(F148:K148)</f>
        <v>2390155.8165283203</v>
      </c>
      <c r="N148" s="203"/>
      <c r="O148" s="202"/>
      <c r="P148" s="202"/>
      <c r="Q148" s="202"/>
      <c r="R148" s="204">
        <f>SUM(R137:R145)</f>
        <v>1741.98</v>
      </c>
      <c r="S148" s="186">
        <f>M148*(1+V148)</f>
        <v>2581368.2818505862</v>
      </c>
      <c r="T148" s="202"/>
      <c r="U148" s="205">
        <f>SUM(U137:U145)</f>
        <v>24170.414040000007</v>
      </c>
      <c r="V148" s="82">
        <v>0.08</v>
      </c>
      <c r="W148" s="40"/>
      <c r="X148" s="41"/>
      <c r="Y148" s="42"/>
      <c r="Z148" s="172"/>
    </row>
    <row r="149" spans="1:26" ht="12.75" customHeight="1" x14ac:dyDescent="0.2">
      <c r="B149" s="69"/>
      <c r="N149" s="64"/>
      <c r="Q149" s="206"/>
      <c r="S149" s="84"/>
      <c r="V149" s="66"/>
      <c r="W149" s="67"/>
      <c r="X149" s="68"/>
      <c r="Z149" s="172"/>
    </row>
    <row r="150" spans="1:26" ht="15" x14ac:dyDescent="0.25">
      <c r="B150" s="13"/>
      <c r="C150" s="13"/>
      <c r="D150" s="13" t="s">
        <v>639</v>
      </c>
      <c r="E150" s="13"/>
      <c r="F150" s="13"/>
      <c r="G150" s="13"/>
      <c r="H150" s="13"/>
      <c r="I150" s="14"/>
      <c r="J150" s="13"/>
      <c r="K150" s="13"/>
      <c r="L150" s="15"/>
      <c r="N150" s="64"/>
      <c r="S150" s="84"/>
      <c r="V150" s="66"/>
      <c r="W150" s="67"/>
      <c r="X150" s="68"/>
      <c r="Z150" s="172"/>
    </row>
    <row r="151" spans="1:26" ht="15" x14ac:dyDescent="0.25">
      <c r="B151" s="16" t="s">
        <v>4</v>
      </c>
      <c r="C151" s="16"/>
      <c r="D151" s="13" t="s">
        <v>179</v>
      </c>
      <c r="E151" s="13"/>
      <c r="F151" s="14"/>
      <c r="G151" s="14"/>
      <c r="H151" s="476"/>
      <c r="I151" s="476"/>
      <c r="J151" s="14"/>
      <c r="K151" s="17"/>
      <c r="L151" s="18"/>
      <c r="N151" s="64"/>
      <c r="S151" s="84"/>
      <c r="V151" s="66"/>
      <c r="W151" s="67"/>
      <c r="X151" s="68"/>
    </row>
    <row r="152" spans="1:26" ht="14.25" thickBot="1" x14ac:dyDescent="0.25">
      <c r="B152" s="19"/>
      <c r="C152" s="19"/>
      <c r="D152" s="19"/>
      <c r="E152" s="19"/>
      <c r="F152" s="20"/>
      <c r="G152" s="20"/>
      <c r="H152" s="20"/>
      <c r="I152" s="20"/>
      <c r="J152" s="20"/>
      <c r="K152" s="22"/>
      <c r="L152" s="19"/>
      <c r="N152" s="64"/>
      <c r="S152" s="84"/>
      <c r="V152" s="66"/>
      <c r="W152" s="67"/>
      <c r="X152" s="68"/>
    </row>
    <row r="153" spans="1:26" ht="12.75" customHeight="1" x14ac:dyDescent="0.2">
      <c r="B153" s="477" t="s">
        <v>6</v>
      </c>
      <c r="C153" s="479" t="s">
        <v>7</v>
      </c>
      <c r="D153" s="479" t="s">
        <v>8</v>
      </c>
      <c r="E153" s="479" t="s">
        <v>9</v>
      </c>
      <c r="F153" s="481" t="s">
        <v>10</v>
      </c>
      <c r="G153" s="483" t="s">
        <v>11</v>
      </c>
      <c r="H153" s="481" t="s">
        <v>12</v>
      </c>
      <c r="I153" s="479" t="s">
        <v>13</v>
      </c>
      <c r="J153" s="479" t="s">
        <v>14</v>
      </c>
      <c r="K153" s="493" t="s">
        <v>15</v>
      </c>
      <c r="L153" s="23"/>
      <c r="M153" s="495" t="s">
        <v>16</v>
      </c>
      <c r="N153" s="495" t="s">
        <v>17</v>
      </c>
      <c r="O153" s="489" t="s">
        <v>18</v>
      </c>
      <c r="P153" s="489" t="s">
        <v>19</v>
      </c>
      <c r="Q153" s="489" t="s">
        <v>20</v>
      </c>
      <c r="R153" s="490" t="s">
        <v>21</v>
      </c>
      <c r="S153" s="495" t="s">
        <v>22</v>
      </c>
      <c r="T153" s="495" t="s">
        <v>16</v>
      </c>
      <c r="U153" s="498" t="s">
        <v>23</v>
      </c>
      <c r="V153" s="498" t="s">
        <v>24</v>
      </c>
      <c r="W153" s="489" t="s">
        <v>25</v>
      </c>
      <c r="X153" s="489" t="s">
        <v>26</v>
      </c>
      <c r="Y153" s="497" t="s">
        <v>27</v>
      </c>
    </row>
    <row r="154" spans="1:26" ht="13.5" customHeight="1" thickBot="1" x14ac:dyDescent="0.25">
      <c r="B154" s="478"/>
      <c r="C154" s="480"/>
      <c r="D154" s="480"/>
      <c r="E154" s="480"/>
      <c r="F154" s="482"/>
      <c r="G154" s="484"/>
      <c r="H154" s="482"/>
      <c r="I154" s="480"/>
      <c r="J154" s="480"/>
      <c r="K154" s="494"/>
      <c r="L154" s="23"/>
      <c r="M154" s="495"/>
      <c r="N154" s="495"/>
      <c r="O154" s="489"/>
      <c r="P154" s="489"/>
      <c r="Q154" s="489"/>
      <c r="R154" s="490"/>
      <c r="S154" s="495"/>
      <c r="T154" s="495"/>
      <c r="U154" s="498"/>
      <c r="V154" s="498"/>
      <c r="W154" s="489"/>
      <c r="X154" s="489"/>
      <c r="Y154" s="497"/>
    </row>
    <row r="155" spans="1:26" ht="13.5" thickBot="1" x14ac:dyDescent="0.25">
      <c r="B155" s="97"/>
      <c r="C155" s="97"/>
      <c r="D155" s="98"/>
      <c r="E155" s="97"/>
      <c r="F155" s="98"/>
      <c r="G155" s="98"/>
      <c r="H155" s="98"/>
      <c r="I155" s="98"/>
      <c r="J155" s="98"/>
      <c r="K155" s="180"/>
      <c r="N155" s="64"/>
      <c r="S155" s="194"/>
      <c r="V155" s="66"/>
      <c r="W155" s="67"/>
      <c r="X155" s="68"/>
    </row>
    <row r="156" spans="1:26" x14ac:dyDescent="0.2">
      <c r="A156" s="52"/>
      <c r="B156" s="25" t="s">
        <v>180</v>
      </c>
      <c r="C156" s="207" t="s">
        <v>181</v>
      </c>
      <c r="D156" s="27" t="s">
        <v>30</v>
      </c>
      <c r="E156" s="28">
        <v>43374</v>
      </c>
      <c r="F156" s="29">
        <v>4945.9680000000008</v>
      </c>
      <c r="G156" s="29">
        <f t="shared" ref="G156:G183" si="70">F156/15</f>
        <v>329.73120000000006</v>
      </c>
      <c r="H156" s="29"/>
      <c r="I156" s="29">
        <f t="shared" ref="I156:I183" si="71">F156/15*O156</f>
        <v>23081.184000000005</v>
      </c>
      <c r="J156" s="29">
        <f t="shared" ref="J156:J183" si="72">F156/15*P156</f>
        <v>4748.129280000001</v>
      </c>
      <c r="K156" s="30"/>
      <c r="L156" s="31"/>
      <c r="M156" s="453">
        <v>4579.6000000000004</v>
      </c>
      <c r="N156" s="87">
        <f>M156*(1+8%)</f>
        <v>4945.9680000000008</v>
      </c>
      <c r="O156" s="34">
        <v>70</v>
      </c>
      <c r="P156" s="34">
        <v>14.4</v>
      </c>
      <c r="Q156" s="35">
        <v>43374</v>
      </c>
      <c r="R156" s="441">
        <v>0</v>
      </c>
      <c r="S156" s="60">
        <f t="shared" ref="S156:S183" si="73">M156*(1+V156)</f>
        <v>4945.9680000000008</v>
      </c>
      <c r="T156" s="61">
        <f>S156/1.08</f>
        <v>4579.6000000000004</v>
      </c>
      <c r="U156" s="208">
        <f>S156/15*5</f>
        <v>1648.6560000000004</v>
      </c>
      <c r="V156" s="39">
        <v>0.08</v>
      </c>
      <c r="W156" s="40">
        <v>44377</v>
      </c>
      <c r="X156" s="41">
        <f t="shared" ref="X156:X183" si="74">(YEAR(W156)-YEAR(E156))*12+MONTH(W156)-MONTH(E156)</f>
        <v>32</v>
      </c>
      <c r="Y156" s="42">
        <f t="shared" ref="Y156:Y183" si="75">X156/12</f>
        <v>2.6666666666666665</v>
      </c>
    </row>
    <row r="157" spans="1:26" x14ac:dyDescent="0.2">
      <c r="A157" s="52"/>
      <c r="B157" s="104" t="s">
        <v>182</v>
      </c>
      <c r="C157" s="209" t="s">
        <v>183</v>
      </c>
      <c r="D157" s="45" t="s">
        <v>30</v>
      </c>
      <c r="E157" s="106">
        <v>43344</v>
      </c>
      <c r="F157" s="47">
        <v>5564.2140000000009</v>
      </c>
      <c r="G157" s="47">
        <f t="shared" si="70"/>
        <v>370.94760000000008</v>
      </c>
      <c r="H157" s="47"/>
      <c r="I157" s="47">
        <f t="shared" si="71"/>
        <v>25966.332000000006</v>
      </c>
      <c r="J157" s="47">
        <f t="shared" si="72"/>
        <v>5341.6454400000011</v>
      </c>
      <c r="K157" s="49"/>
      <c r="L157" s="31"/>
      <c r="M157" s="454">
        <v>5152.05</v>
      </c>
      <c r="N157" s="87">
        <f t="shared" ref="N157:N183" si="76">M157*(1+8%)</f>
        <v>5564.2140000000009</v>
      </c>
      <c r="O157" s="34">
        <v>70</v>
      </c>
      <c r="P157" s="34">
        <v>14.4</v>
      </c>
      <c r="Q157" s="35">
        <v>43344</v>
      </c>
      <c r="R157" s="441">
        <v>0</v>
      </c>
      <c r="S157" s="60">
        <f t="shared" si="73"/>
        <v>5564.2140000000009</v>
      </c>
      <c r="T157" s="61">
        <f t="shared" ref="T157:T183" si="77">S157/1.08</f>
        <v>5152.05</v>
      </c>
      <c r="U157" s="208">
        <f t="shared" ref="U157:U183" si="78">S157/15*5</f>
        <v>1854.7380000000003</v>
      </c>
      <c r="V157" s="39">
        <v>0.08</v>
      </c>
      <c r="W157" s="40">
        <v>44377</v>
      </c>
      <c r="X157" s="41">
        <f t="shared" si="74"/>
        <v>33</v>
      </c>
      <c r="Y157" s="42">
        <f t="shared" si="75"/>
        <v>2.75</v>
      </c>
    </row>
    <row r="158" spans="1:26" x14ac:dyDescent="0.2">
      <c r="A158" s="52"/>
      <c r="B158" s="104" t="s">
        <v>184</v>
      </c>
      <c r="C158" s="209" t="s">
        <v>61</v>
      </c>
      <c r="D158" s="45" t="s">
        <v>30</v>
      </c>
      <c r="E158" s="106">
        <v>43512</v>
      </c>
      <c r="F158" s="47">
        <v>3709.4760000000006</v>
      </c>
      <c r="G158" s="47">
        <f t="shared" si="70"/>
        <v>247.29840000000004</v>
      </c>
      <c r="H158" s="47"/>
      <c r="I158" s="47">
        <f t="shared" si="71"/>
        <v>17310.888000000003</v>
      </c>
      <c r="J158" s="47">
        <f t="shared" si="72"/>
        <v>3561.0969600000008</v>
      </c>
      <c r="K158" s="49"/>
      <c r="L158" s="31"/>
      <c r="M158" s="454">
        <v>3434.7000000000003</v>
      </c>
      <c r="N158" s="87">
        <f t="shared" si="76"/>
        <v>3709.4760000000006</v>
      </c>
      <c r="O158" s="34">
        <v>70</v>
      </c>
      <c r="P158" s="34">
        <v>14.4</v>
      </c>
      <c r="Q158" s="35">
        <v>43512</v>
      </c>
      <c r="R158" s="441">
        <v>0</v>
      </c>
      <c r="S158" s="60">
        <f t="shared" si="73"/>
        <v>3709.4760000000006</v>
      </c>
      <c r="T158" s="61">
        <f t="shared" si="77"/>
        <v>3434.7000000000003</v>
      </c>
      <c r="U158" s="208">
        <f t="shared" si="78"/>
        <v>1236.4920000000002</v>
      </c>
      <c r="V158" s="39">
        <v>0.08</v>
      </c>
      <c r="W158" s="40">
        <v>44377</v>
      </c>
      <c r="X158" s="41">
        <f t="shared" si="74"/>
        <v>28</v>
      </c>
      <c r="Y158" s="42">
        <f t="shared" si="75"/>
        <v>2.3333333333333335</v>
      </c>
    </row>
    <row r="159" spans="1:26" ht="13.5" customHeight="1" x14ac:dyDescent="0.2">
      <c r="A159" s="52"/>
      <c r="B159" s="210" t="s">
        <v>185</v>
      </c>
      <c r="C159" s="211" t="s">
        <v>186</v>
      </c>
      <c r="D159" s="45" t="s">
        <v>34</v>
      </c>
      <c r="E159" s="106">
        <v>43344</v>
      </c>
      <c r="F159" s="47">
        <v>9632.2726800000037</v>
      </c>
      <c r="G159" s="47">
        <f t="shared" si="70"/>
        <v>642.15151200000025</v>
      </c>
      <c r="H159" s="47">
        <v>5000</v>
      </c>
      <c r="I159" s="47">
        <f t="shared" si="71"/>
        <v>44950.605840000018</v>
      </c>
      <c r="J159" s="47">
        <f t="shared" si="72"/>
        <v>9246.9817728000035</v>
      </c>
      <c r="K159" s="49">
        <v>0</v>
      </c>
      <c r="L159" s="31"/>
      <c r="M159" s="454">
        <v>8918.7710000000025</v>
      </c>
      <c r="N159" s="87">
        <f t="shared" si="76"/>
        <v>9632.2726800000037</v>
      </c>
      <c r="O159" s="34">
        <v>70</v>
      </c>
      <c r="P159" s="34">
        <v>14.4</v>
      </c>
      <c r="Q159" s="35">
        <v>43344</v>
      </c>
      <c r="R159" s="441">
        <v>0</v>
      </c>
      <c r="S159" s="60">
        <f t="shared" si="73"/>
        <v>9632.2726800000037</v>
      </c>
      <c r="T159" s="61">
        <f t="shared" si="77"/>
        <v>8918.7710000000025</v>
      </c>
      <c r="U159" s="208">
        <f t="shared" si="78"/>
        <v>3210.7575600000014</v>
      </c>
      <c r="V159" s="39">
        <v>0.08</v>
      </c>
      <c r="W159" s="40">
        <v>44377</v>
      </c>
      <c r="X159" s="41">
        <f t="shared" si="74"/>
        <v>33</v>
      </c>
      <c r="Y159" s="42">
        <f t="shared" si="75"/>
        <v>2.75</v>
      </c>
    </row>
    <row r="160" spans="1:26" x14ac:dyDescent="0.2">
      <c r="A160" s="52"/>
      <c r="B160" s="43" t="s">
        <v>187</v>
      </c>
      <c r="C160" s="44" t="s">
        <v>50</v>
      </c>
      <c r="D160" s="45" t="s">
        <v>51</v>
      </c>
      <c r="E160" s="46">
        <v>33970</v>
      </c>
      <c r="F160" s="47">
        <v>4645.5004440000012</v>
      </c>
      <c r="G160" s="47">
        <f t="shared" si="70"/>
        <v>309.70002960000005</v>
      </c>
      <c r="H160" s="47"/>
      <c r="I160" s="47">
        <f t="shared" si="71"/>
        <v>21679.002072000003</v>
      </c>
      <c r="J160" s="47">
        <f t="shared" si="72"/>
        <v>5946.2405683200004</v>
      </c>
      <c r="K160" s="49">
        <f>F160/15*12+R160+R160</f>
        <v>5471.4003552000004</v>
      </c>
      <c r="L160" s="31"/>
      <c r="M160" s="454">
        <v>5301</v>
      </c>
      <c r="N160" s="87">
        <f t="shared" si="76"/>
        <v>5725.08</v>
      </c>
      <c r="O160" s="34">
        <v>70</v>
      </c>
      <c r="P160" s="34">
        <v>19.2</v>
      </c>
      <c r="Q160" s="51">
        <v>33970</v>
      </c>
      <c r="R160" s="441">
        <v>877.5</v>
      </c>
      <c r="S160" s="60">
        <f t="shared" si="73"/>
        <v>5725.08</v>
      </c>
      <c r="T160" s="61">
        <f t="shared" si="77"/>
        <v>5301</v>
      </c>
      <c r="U160" s="208">
        <f t="shared" si="78"/>
        <v>1908.36</v>
      </c>
      <c r="V160" s="39">
        <v>0.08</v>
      </c>
      <c r="W160" s="40">
        <v>44377</v>
      </c>
      <c r="X160" s="41">
        <f t="shared" si="74"/>
        <v>341</v>
      </c>
      <c r="Y160" s="42">
        <f t="shared" si="75"/>
        <v>28.416666666666668</v>
      </c>
    </row>
    <row r="161" spans="1:25" x14ac:dyDescent="0.2">
      <c r="A161" s="52"/>
      <c r="B161" s="104" t="s">
        <v>188</v>
      </c>
      <c r="C161" s="209" t="s">
        <v>189</v>
      </c>
      <c r="D161" s="45" t="s">
        <v>51</v>
      </c>
      <c r="E161" s="106">
        <v>39456</v>
      </c>
      <c r="F161" s="47">
        <v>6907.0443120000018</v>
      </c>
      <c r="G161" s="47">
        <f t="shared" si="70"/>
        <v>460.46962080000014</v>
      </c>
      <c r="H161" s="47">
        <v>300</v>
      </c>
      <c r="I161" s="47">
        <f t="shared" si="71"/>
        <v>32232.873456000008</v>
      </c>
      <c r="J161" s="47">
        <f t="shared" si="72"/>
        <v>8841.0167193600028</v>
      </c>
      <c r="K161" s="49">
        <f>F161/15*12+R161+R161</f>
        <v>6298.9154496000028</v>
      </c>
      <c r="L161" s="31"/>
      <c r="M161" s="454">
        <v>6395.4114000000009</v>
      </c>
      <c r="N161" s="87">
        <f t="shared" si="76"/>
        <v>6907.0443120000018</v>
      </c>
      <c r="O161" s="34">
        <v>70</v>
      </c>
      <c r="P161" s="34">
        <v>19.2</v>
      </c>
      <c r="Q161" s="35">
        <v>39456</v>
      </c>
      <c r="R161" s="441">
        <v>386.64</v>
      </c>
      <c r="S161" s="60">
        <f t="shared" si="73"/>
        <v>6907.0443120000018</v>
      </c>
      <c r="T161" s="61">
        <f t="shared" si="77"/>
        <v>6395.4114000000009</v>
      </c>
      <c r="U161" s="208">
        <f t="shared" si="78"/>
        <v>2302.3481040000006</v>
      </c>
      <c r="V161" s="39">
        <v>0.08</v>
      </c>
      <c r="W161" s="40">
        <v>44377</v>
      </c>
      <c r="X161" s="41">
        <f t="shared" si="74"/>
        <v>161</v>
      </c>
      <c r="Y161" s="42">
        <f t="shared" si="75"/>
        <v>13.416666666666666</v>
      </c>
    </row>
    <row r="162" spans="1:25" ht="12.75" customHeight="1" x14ac:dyDescent="0.2">
      <c r="A162" s="52"/>
      <c r="B162" s="43" t="s">
        <v>190</v>
      </c>
      <c r="C162" s="44" t="s">
        <v>191</v>
      </c>
      <c r="D162" s="45" t="s">
        <v>34</v>
      </c>
      <c r="E162" s="46">
        <v>43374</v>
      </c>
      <c r="F162" s="48">
        <v>4945.9680000000008</v>
      </c>
      <c r="G162" s="47">
        <f t="shared" si="70"/>
        <v>329.73120000000006</v>
      </c>
      <c r="H162" s="48"/>
      <c r="I162" s="47">
        <f t="shared" si="71"/>
        <v>23081.184000000005</v>
      </c>
      <c r="J162" s="47">
        <f t="shared" si="72"/>
        <v>4748.129280000001</v>
      </c>
      <c r="K162" s="49"/>
      <c r="L162" s="50"/>
      <c r="M162" s="455">
        <v>4579.6000000000004</v>
      </c>
      <c r="N162" s="87">
        <f t="shared" si="76"/>
        <v>4945.9680000000008</v>
      </c>
      <c r="O162" s="34">
        <v>70</v>
      </c>
      <c r="P162" s="34">
        <v>14.4</v>
      </c>
      <c r="Q162" s="51">
        <v>43374</v>
      </c>
      <c r="R162" s="441">
        <v>0</v>
      </c>
      <c r="S162" s="60">
        <f t="shared" si="73"/>
        <v>4945.9680000000008</v>
      </c>
      <c r="T162" s="61">
        <f t="shared" si="77"/>
        <v>4579.6000000000004</v>
      </c>
      <c r="U162" s="208">
        <f t="shared" si="78"/>
        <v>1648.6560000000004</v>
      </c>
      <c r="V162" s="39">
        <v>0.08</v>
      </c>
      <c r="W162" s="40">
        <v>44377</v>
      </c>
      <c r="X162" s="41">
        <f t="shared" si="74"/>
        <v>32</v>
      </c>
      <c r="Y162" s="42">
        <f t="shared" si="75"/>
        <v>2.6666666666666665</v>
      </c>
    </row>
    <row r="163" spans="1:25" x14ac:dyDescent="0.2">
      <c r="A163" s="52"/>
      <c r="B163" s="104" t="s">
        <v>192</v>
      </c>
      <c r="C163" s="209" t="s">
        <v>193</v>
      </c>
      <c r="D163" s="45" t="s">
        <v>30</v>
      </c>
      <c r="E163" s="106">
        <v>43525</v>
      </c>
      <c r="F163" s="47">
        <v>3466.8</v>
      </c>
      <c r="G163" s="47">
        <f t="shared" si="70"/>
        <v>231.12</v>
      </c>
      <c r="H163" s="47"/>
      <c r="I163" s="47">
        <f t="shared" si="71"/>
        <v>16178.4</v>
      </c>
      <c r="J163" s="47">
        <f t="shared" si="72"/>
        <v>3328.1280000000002</v>
      </c>
      <c r="K163" s="49"/>
      <c r="L163" s="31"/>
      <c r="M163" s="454">
        <v>3210</v>
      </c>
      <c r="N163" s="87">
        <f t="shared" si="76"/>
        <v>3466.8</v>
      </c>
      <c r="O163" s="34">
        <v>70</v>
      </c>
      <c r="P163" s="34">
        <v>14.4</v>
      </c>
      <c r="Q163" s="35">
        <v>43525</v>
      </c>
      <c r="R163" s="441">
        <v>0</v>
      </c>
      <c r="S163" s="60">
        <f t="shared" si="73"/>
        <v>3466.8</v>
      </c>
      <c r="T163" s="61">
        <f t="shared" si="77"/>
        <v>3210</v>
      </c>
      <c r="U163" s="208">
        <f t="shared" si="78"/>
        <v>1155.5999999999999</v>
      </c>
      <c r="V163" s="39">
        <v>0.08</v>
      </c>
      <c r="W163" s="40">
        <v>44377</v>
      </c>
      <c r="X163" s="41">
        <f t="shared" si="74"/>
        <v>27</v>
      </c>
      <c r="Y163" s="42">
        <f t="shared" si="75"/>
        <v>2.25</v>
      </c>
    </row>
    <row r="164" spans="1:25" x14ac:dyDescent="0.2">
      <c r="A164" s="52"/>
      <c r="B164" s="43" t="s">
        <v>194</v>
      </c>
      <c r="C164" s="44" t="s">
        <v>50</v>
      </c>
      <c r="D164" s="45" t="s">
        <v>51</v>
      </c>
      <c r="E164" s="46">
        <v>37226</v>
      </c>
      <c r="F164" s="48">
        <v>3830.6522160000009</v>
      </c>
      <c r="G164" s="47">
        <f t="shared" si="70"/>
        <v>255.37681440000006</v>
      </c>
      <c r="H164" s="48"/>
      <c r="I164" s="47">
        <f t="shared" si="71"/>
        <v>17876.377008000003</v>
      </c>
      <c r="J164" s="47">
        <f t="shared" si="72"/>
        <v>4903.2348364800009</v>
      </c>
      <c r="K164" s="49">
        <f>F164/15*12+R164+R164</f>
        <v>4123.161772800001</v>
      </c>
      <c r="L164" s="50"/>
      <c r="M164" s="455">
        <v>3546.9002000000005</v>
      </c>
      <c r="N164" s="87">
        <f t="shared" si="76"/>
        <v>3830.6522160000009</v>
      </c>
      <c r="O164" s="34">
        <v>70</v>
      </c>
      <c r="P164" s="34">
        <v>19.2</v>
      </c>
      <c r="Q164" s="51">
        <v>37226</v>
      </c>
      <c r="R164" s="441">
        <v>529.32000000000005</v>
      </c>
      <c r="S164" s="60">
        <f t="shared" si="73"/>
        <v>3830.6522160000009</v>
      </c>
      <c r="T164" s="61">
        <f t="shared" si="77"/>
        <v>3546.9002000000005</v>
      </c>
      <c r="U164" s="208">
        <f t="shared" si="78"/>
        <v>1276.8840720000003</v>
      </c>
      <c r="V164" s="39">
        <v>0.08</v>
      </c>
      <c r="W164" s="40">
        <v>44377</v>
      </c>
      <c r="X164" s="41">
        <f t="shared" si="74"/>
        <v>234</v>
      </c>
      <c r="Y164" s="42">
        <f t="shared" si="75"/>
        <v>19.5</v>
      </c>
    </row>
    <row r="165" spans="1:25" x14ac:dyDescent="0.2">
      <c r="A165" s="52"/>
      <c r="B165" s="210" t="s">
        <v>195</v>
      </c>
      <c r="C165" s="211" t="s">
        <v>196</v>
      </c>
      <c r="D165" s="45" t="s">
        <v>51</v>
      </c>
      <c r="E165" s="106">
        <v>33970</v>
      </c>
      <c r="F165" s="47">
        <v>10787.156208000002</v>
      </c>
      <c r="G165" s="47">
        <f t="shared" si="70"/>
        <v>719.14374720000012</v>
      </c>
      <c r="H165" s="47"/>
      <c r="I165" s="47">
        <f t="shared" si="71"/>
        <v>50340.062304000006</v>
      </c>
      <c r="J165" s="47">
        <f t="shared" si="72"/>
        <v>13807.559946240002</v>
      </c>
      <c r="K165" s="49">
        <f>F165/15*12+R165+R165</f>
        <v>10384.724966400001</v>
      </c>
      <c r="L165" s="212"/>
      <c r="M165" s="454">
        <v>9988.1076000000012</v>
      </c>
      <c r="N165" s="87">
        <f t="shared" si="76"/>
        <v>10787.156208000002</v>
      </c>
      <c r="O165" s="34">
        <v>70</v>
      </c>
      <c r="P165" s="34">
        <v>19.2</v>
      </c>
      <c r="Q165" s="35">
        <v>33970</v>
      </c>
      <c r="R165" s="441">
        <v>877.5</v>
      </c>
      <c r="S165" s="60">
        <f t="shared" si="73"/>
        <v>10787.156208000002</v>
      </c>
      <c r="T165" s="61">
        <f t="shared" si="77"/>
        <v>9988.1076000000012</v>
      </c>
      <c r="U165" s="208">
        <f t="shared" si="78"/>
        <v>3595.7187360000007</v>
      </c>
      <c r="V165" s="39">
        <v>0.08</v>
      </c>
      <c r="W165" s="40">
        <v>44377</v>
      </c>
      <c r="X165" s="41">
        <f t="shared" si="74"/>
        <v>341</v>
      </c>
      <c r="Y165" s="42">
        <f t="shared" si="75"/>
        <v>28.416666666666668</v>
      </c>
    </row>
    <row r="166" spans="1:25" s="130" customFormat="1" x14ac:dyDescent="0.2">
      <c r="A166" s="283" t="s">
        <v>90</v>
      </c>
      <c r="B166" s="465" t="s">
        <v>641</v>
      </c>
      <c r="C166" s="284" t="s">
        <v>61</v>
      </c>
      <c r="D166" s="133" t="s">
        <v>30</v>
      </c>
      <c r="E166" s="134">
        <v>43983</v>
      </c>
      <c r="F166" s="147">
        <v>2800</v>
      </c>
      <c r="G166" s="147">
        <f t="shared" si="70"/>
        <v>186.66666666666666</v>
      </c>
      <c r="H166" s="147"/>
      <c r="I166" s="147">
        <f t="shared" ref="I166" si="79">F166/15*O166</f>
        <v>13066.666666666666</v>
      </c>
      <c r="J166" s="147">
        <f t="shared" ref="J166" si="80">F166/15*P166</f>
        <v>3583.9999999999995</v>
      </c>
      <c r="K166" s="148">
        <v>0</v>
      </c>
      <c r="L166" s="466"/>
      <c r="M166" s="454">
        <v>2800</v>
      </c>
      <c r="N166" s="168">
        <f t="shared" ref="N166" si="81">M166*(1+8%)</f>
        <v>3024</v>
      </c>
      <c r="O166" s="140">
        <v>70</v>
      </c>
      <c r="P166" s="140">
        <v>19.2</v>
      </c>
      <c r="Q166" s="134">
        <v>33970</v>
      </c>
      <c r="R166" s="442">
        <v>877.5</v>
      </c>
      <c r="S166" s="136">
        <f t="shared" ref="S166" si="82">M166*(1+V166)</f>
        <v>3024</v>
      </c>
      <c r="T166" s="467">
        <f t="shared" ref="T166" si="83">S166/1.08</f>
        <v>2800</v>
      </c>
      <c r="U166" s="468">
        <f t="shared" ref="U166" si="84">S166/15*5</f>
        <v>1008</v>
      </c>
      <c r="V166" s="143">
        <v>0.08</v>
      </c>
      <c r="W166" s="144">
        <v>44377</v>
      </c>
      <c r="X166" s="145">
        <f t="shared" ref="X166" si="85">(YEAR(W166)-YEAR(E166))*12+MONTH(W166)-MONTH(E166)</f>
        <v>12</v>
      </c>
      <c r="Y166" s="146">
        <f t="shared" ref="Y166" si="86">X166/12</f>
        <v>1</v>
      </c>
    </row>
    <row r="167" spans="1:25" x14ac:dyDescent="0.2">
      <c r="A167" s="52"/>
      <c r="B167" s="43" t="s">
        <v>197</v>
      </c>
      <c r="C167" s="44" t="s">
        <v>61</v>
      </c>
      <c r="D167" s="45" t="s">
        <v>30</v>
      </c>
      <c r="E167" s="46">
        <v>42248</v>
      </c>
      <c r="F167" s="47">
        <v>4555.2365280000004</v>
      </c>
      <c r="G167" s="47">
        <f t="shared" si="70"/>
        <v>303.68243520000004</v>
      </c>
      <c r="H167" s="47"/>
      <c r="I167" s="47">
        <f t="shared" si="71"/>
        <v>21257.770464000005</v>
      </c>
      <c r="J167" s="47">
        <f t="shared" si="72"/>
        <v>5830.7027558400005</v>
      </c>
      <c r="K167" s="49">
        <f>F167/15*12+R167+R167</f>
        <v>4314.5092224</v>
      </c>
      <c r="L167" s="31"/>
      <c r="M167" s="454">
        <v>4217.8116</v>
      </c>
      <c r="N167" s="87">
        <f t="shared" si="76"/>
        <v>4555.2365280000004</v>
      </c>
      <c r="O167" s="34">
        <v>70</v>
      </c>
      <c r="P167" s="34">
        <v>19.2</v>
      </c>
      <c r="Q167" s="51">
        <v>42248</v>
      </c>
      <c r="R167" s="441">
        <v>335.16</v>
      </c>
      <c r="S167" s="60">
        <f t="shared" si="73"/>
        <v>4555.2365280000004</v>
      </c>
      <c r="T167" s="61">
        <f t="shared" si="77"/>
        <v>4217.8116</v>
      </c>
      <c r="U167" s="208">
        <f t="shared" si="78"/>
        <v>1518.4121760000003</v>
      </c>
      <c r="V167" s="39">
        <v>0.08</v>
      </c>
      <c r="W167" s="40">
        <v>44377</v>
      </c>
      <c r="X167" s="41">
        <f t="shared" si="74"/>
        <v>69</v>
      </c>
      <c r="Y167" s="42">
        <f t="shared" si="75"/>
        <v>5.75</v>
      </c>
    </row>
    <row r="168" spans="1:25" x14ac:dyDescent="0.2">
      <c r="A168" s="52"/>
      <c r="B168" s="43" t="s">
        <v>198</v>
      </c>
      <c r="C168" s="44" t="s">
        <v>140</v>
      </c>
      <c r="D168" s="45" t="s">
        <v>30</v>
      </c>
      <c r="E168" s="46">
        <v>43466</v>
      </c>
      <c r="F168" s="47">
        <v>7418.9520000000011</v>
      </c>
      <c r="G168" s="47">
        <f t="shared" si="70"/>
        <v>494.59680000000009</v>
      </c>
      <c r="H168" s="47"/>
      <c r="I168" s="47">
        <f t="shared" si="71"/>
        <v>34621.776000000005</v>
      </c>
      <c r="J168" s="47">
        <f t="shared" si="72"/>
        <v>7122.1939200000015</v>
      </c>
      <c r="K168" s="49"/>
      <c r="L168" s="31"/>
      <c r="M168" s="454">
        <v>6869.4000000000005</v>
      </c>
      <c r="N168" s="87">
        <f t="shared" si="76"/>
        <v>7418.9520000000011</v>
      </c>
      <c r="O168" s="34">
        <v>70</v>
      </c>
      <c r="P168" s="34">
        <v>14.4</v>
      </c>
      <c r="Q168" s="51">
        <v>43466</v>
      </c>
      <c r="R168" s="441">
        <v>0</v>
      </c>
      <c r="S168" s="60">
        <f t="shared" si="73"/>
        <v>7418.9520000000011</v>
      </c>
      <c r="T168" s="61">
        <f t="shared" si="77"/>
        <v>6869.4000000000005</v>
      </c>
      <c r="U168" s="208">
        <f t="shared" si="78"/>
        <v>2472.9840000000004</v>
      </c>
      <c r="V168" s="39">
        <v>0.08</v>
      </c>
      <c r="W168" s="40">
        <v>44377</v>
      </c>
      <c r="X168" s="41">
        <f t="shared" si="74"/>
        <v>29</v>
      </c>
      <c r="Y168" s="42">
        <f t="shared" si="75"/>
        <v>2.4166666666666665</v>
      </c>
    </row>
    <row r="169" spans="1:25" x14ac:dyDescent="0.2">
      <c r="A169" s="52"/>
      <c r="B169" s="43" t="s">
        <v>199</v>
      </c>
      <c r="C169" s="44" t="s">
        <v>61</v>
      </c>
      <c r="D169" s="45" t="s">
        <v>30</v>
      </c>
      <c r="E169" s="46">
        <v>43556</v>
      </c>
      <c r="F169" s="47">
        <v>2889</v>
      </c>
      <c r="G169" s="47">
        <f t="shared" si="70"/>
        <v>192.6</v>
      </c>
      <c r="H169" s="47"/>
      <c r="I169" s="47">
        <f t="shared" si="71"/>
        <v>13482</v>
      </c>
      <c r="J169" s="47">
        <f t="shared" si="72"/>
        <v>2773.44</v>
      </c>
      <c r="K169" s="49"/>
      <c r="L169" s="31"/>
      <c r="M169" s="454">
        <v>2675</v>
      </c>
      <c r="N169" s="87">
        <f t="shared" si="76"/>
        <v>2889</v>
      </c>
      <c r="O169" s="34">
        <v>70</v>
      </c>
      <c r="P169" s="34">
        <v>14.4</v>
      </c>
      <c r="Q169" s="51">
        <v>43556</v>
      </c>
      <c r="R169" s="441">
        <v>0</v>
      </c>
      <c r="S169" s="60">
        <f t="shared" si="73"/>
        <v>2889</v>
      </c>
      <c r="T169" s="61">
        <f t="shared" si="77"/>
        <v>2675</v>
      </c>
      <c r="U169" s="208">
        <f t="shared" si="78"/>
        <v>963</v>
      </c>
      <c r="V169" s="39">
        <v>0.08</v>
      </c>
      <c r="W169" s="40">
        <v>44377</v>
      </c>
      <c r="X169" s="41">
        <f t="shared" si="74"/>
        <v>26</v>
      </c>
      <c r="Y169" s="42">
        <f t="shared" si="75"/>
        <v>2.1666666666666665</v>
      </c>
    </row>
    <row r="170" spans="1:25" x14ac:dyDescent="0.2">
      <c r="A170" s="52"/>
      <c r="B170" s="104" t="s">
        <v>200</v>
      </c>
      <c r="C170" s="209" t="s">
        <v>201</v>
      </c>
      <c r="D170" s="45" t="s">
        <v>51</v>
      </c>
      <c r="E170" s="106">
        <v>34091</v>
      </c>
      <c r="F170" s="47">
        <v>5226.6516840000013</v>
      </c>
      <c r="G170" s="47">
        <f t="shared" si="70"/>
        <v>348.44344560000008</v>
      </c>
      <c r="H170" s="47"/>
      <c r="I170" s="47">
        <f t="shared" si="71"/>
        <v>24391.041192000004</v>
      </c>
      <c r="J170" s="47">
        <f t="shared" si="72"/>
        <v>6690.1141555200011</v>
      </c>
      <c r="K170" s="49">
        <f>F170/15*12+R170+R170</f>
        <v>5936.3213472000007</v>
      </c>
      <c r="L170" s="31"/>
      <c r="M170" s="454">
        <v>4839.4923000000008</v>
      </c>
      <c r="N170" s="87">
        <f t="shared" si="76"/>
        <v>5226.6516840000013</v>
      </c>
      <c r="O170" s="34">
        <v>70</v>
      </c>
      <c r="P170" s="34">
        <v>19.2</v>
      </c>
      <c r="Q170" s="35">
        <v>34091</v>
      </c>
      <c r="R170" s="441">
        <v>877.5</v>
      </c>
      <c r="S170" s="60">
        <f t="shared" si="73"/>
        <v>5226.6516840000013</v>
      </c>
      <c r="T170" s="61">
        <f t="shared" si="77"/>
        <v>4839.4923000000008</v>
      </c>
      <c r="U170" s="208">
        <f t="shared" si="78"/>
        <v>1742.2172280000004</v>
      </c>
      <c r="V170" s="39">
        <v>0.08</v>
      </c>
      <c r="W170" s="40">
        <v>44377</v>
      </c>
      <c r="X170" s="41">
        <f t="shared" si="74"/>
        <v>337</v>
      </c>
      <c r="Y170" s="42">
        <f t="shared" si="75"/>
        <v>28.083333333333332</v>
      </c>
    </row>
    <row r="171" spans="1:25" ht="12.75" customHeight="1" x14ac:dyDescent="0.2">
      <c r="A171" s="52"/>
      <c r="B171" s="43" t="s">
        <v>202</v>
      </c>
      <c r="C171" s="44" t="s">
        <v>203</v>
      </c>
      <c r="D171" s="45" t="s">
        <v>34</v>
      </c>
      <c r="E171" s="46">
        <v>43344</v>
      </c>
      <c r="F171" s="48">
        <v>8256.0570840000019</v>
      </c>
      <c r="G171" s="47">
        <f t="shared" si="70"/>
        <v>550.40380560000017</v>
      </c>
      <c r="H171" s="48">
        <v>2000</v>
      </c>
      <c r="I171" s="47">
        <f t="shared" si="71"/>
        <v>38528.266392000012</v>
      </c>
      <c r="J171" s="47">
        <f t="shared" si="72"/>
        <v>7925.8148006400024</v>
      </c>
      <c r="K171" s="49"/>
      <c r="L171" s="50"/>
      <c r="M171" s="455">
        <v>7644.4973000000009</v>
      </c>
      <c r="N171" s="87">
        <f t="shared" si="76"/>
        <v>8256.0570840000019</v>
      </c>
      <c r="O171" s="34">
        <v>70</v>
      </c>
      <c r="P171" s="34">
        <v>14.4</v>
      </c>
      <c r="Q171" s="51">
        <v>43344</v>
      </c>
      <c r="R171" s="441">
        <v>0</v>
      </c>
      <c r="S171" s="60">
        <f t="shared" si="73"/>
        <v>8256.0570840000019</v>
      </c>
      <c r="T171" s="61">
        <f t="shared" si="77"/>
        <v>7644.4973000000009</v>
      </c>
      <c r="U171" s="208">
        <f t="shared" si="78"/>
        <v>2752.0190280000006</v>
      </c>
      <c r="V171" s="39">
        <v>0.08</v>
      </c>
      <c r="W171" s="40">
        <v>44377</v>
      </c>
      <c r="X171" s="41">
        <f t="shared" si="74"/>
        <v>33</v>
      </c>
      <c r="Y171" s="42">
        <f t="shared" si="75"/>
        <v>2.75</v>
      </c>
    </row>
    <row r="172" spans="1:25" x14ac:dyDescent="0.2">
      <c r="A172" s="52"/>
      <c r="B172" s="43" t="s">
        <v>204</v>
      </c>
      <c r="C172" s="44" t="s">
        <v>205</v>
      </c>
      <c r="D172" s="213" t="s">
        <v>34</v>
      </c>
      <c r="E172" s="46">
        <v>43344</v>
      </c>
      <c r="F172" s="48">
        <v>12383.467380000004</v>
      </c>
      <c r="G172" s="47">
        <f t="shared" si="70"/>
        <v>825.5644920000002</v>
      </c>
      <c r="H172" s="48">
        <v>5000</v>
      </c>
      <c r="I172" s="47">
        <f t="shared" si="71"/>
        <v>57789.514440000014</v>
      </c>
      <c r="J172" s="47">
        <f t="shared" si="72"/>
        <v>11888.128684800004</v>
      </c>
      <c r="K172" s="49"/>
      <c r="L172" s="50"/>
      <c r="M172" s="455">
        <v>11466.173500000003</v>
      </c>
      <c r="N172" s="87">
        <f t="shared" si="76"/>
        <v>12383.467380000004</v>
      </c>
      <c r="O172" s="34">
        <v>70</v>
      </c>
      <c r="P172" s="34">
        <v>14.4</v>
      </c>
      <c r="Q172" s="51">
        <v>43344</v>
      </c>
      <c r="R172" s="444">
        <v>0</v>
      </c>
      <c r="S172" s="60">
        <f t="shared" si="73"/>
        <v>12383.467380000004</v>
      </c>
      <c r="T172" s="61">
        <f t="shared" si="77"/>
        <v>11466.173500000003</v>
      </c>
      <c r="U172" s="208">
        <f t="shared" si="78"/>
        <v>4127.8224600000012</v>
      </c>
      <c r="V172" s="39">
        <v>0.08</v>
      </c>
      <c r="W172" s="40">
        <v>44377</v>
      </c>
      <c r="X172" s="41">
        <f t="shared" si="74"/>
        <v>33</v>
      </c>
      <c r="Y172" s="42">
        <f t="shared" si="75"/>
        <v>2.75</v>
      </c>
    </row>
    <row r="173" spans="1:25" x14ac:dyDescent="0.2">
      <c r="A173" s="52"/>
      <c r="B173" s="43" t="s">
        <v>206</v>
      </c>
      <c r="C173" s="44" t="s">
        <v>61</v>
      </c>
      <c r="D173" s="45" t="s">
        <v>30</v>
      </c>
      <c r="E173" s="46">
        <v>43389</v>
      </c>
      <c r="F173" s="48">
        <v>3091.23</v>
      </c>
      <c r="G173" s="47">
        <f t="shared" si="70"/>
        <v>206.08199999999999</v>
      </c>
      <c r="H173" s="48"/>
      <c r="I173" s="47">
        <f t="shared" si="71"/>
        <v>14425.74</v>
      </c>
      <c r="J173" s="47">
        <f t="shared" si="72"/>
        <v>2967.5808000000002</v>
      </c>
      <c r="K173" s="49"/>
      <c r="L173" s="50"/>
      <c r="M173" s="455">
        <v>2862.25</v>
      </c>
      <c r="N173" s="87">
        <f t="shared" si="76"/>
        <v>3091.23</v>
      </c>
      <c r="O173" s="34">
        <v>70</v>
      </c>
      <c r="P173" s="34">
        <v>14.4</v>
      </c>
      <c r="Q173" s="51">
        <v>43389</v>
      </c>
      <c r="R173" s="441">
        <v>0</v>
      </c>
      <c r="S173" s="60">
        <f t="shared" si="73"/>
        <v>3091.23</v>
      </c>
      <c r="T173" s="61">
        <f t="shared" si="77"/>
        <v>2862.25</v>
      </c>
      <c r="U173" s="208">
        <f t="shared" si="78"/>
        <v>1030.4099999999999</v>
      </c>
      <c r="V173" s="39">
        <v>0.08</v>
      </c>
      <c r="W173" s="40">
        <v>44377</v>
      </c>
      <c r="X173" s="41">
        <f t="shared" si="74"/>
        <v>32</v>
      </c>
      <c r="Y173" s="42">
        <f t="shared" si="75"/>
        <v>2.6666666666666665</v>
      </c>
    </row>
    <row r="174" spans="1:25" x14ac:dyDescent="0.2">
      <c r="A174" s="52"/>
      <c r="B174" s="43" t="s">
        <v>207</v>
      </c>
      <c r="C174" s="44" t="s">
        <v>208</v>
      </c>
      <c r="D174" s="45" t="s">
        <v>30</v>
      </c>
      <c r="E174" s="46">
        <v>43525</v>
      </c>
      <c r="F174" s="48">
        <v>3466.8</v>
      </c>
      <c r="G174" s="47">
        <f t="shared" si="70"/>
        <v>231.12</v>
      </c>
      <c r="H174" s="48"/>
      <c r="I174" s="47">
        <f t="shared" si="71"/>
        <v>16178.4</v>
      </c>
      <c r="J174" s="47">
        <f t="shared" si="72"/>
        <v>3328.1280000000002</v>
      </c>
      <c r="K174" s="49"/>
      <c r="L174" s="50"/>
      <c r="M174" s="455">
        <v>3210</v>
      </c>
      <c r="N174" s="87">
        <f t="shared" si="76"/>
        <v>3466.8</v>
      </c>
      <c r="O174" s="34">
        <v>70</v>
      </c>
      <c r="P174" s="34">
        <v>14.4</v>
      </c>
      <c r="Q174" s="51">
        <v>43525</v>
      </c>
      <c r="R174" s="441">
        <v>0</v>
      </c>
      <c r="S174" s="60">
        <f t="shared" si="73"/>
        <v>3466.8</v>
      </c>
      <c r="T174" s="61">
        <f t="shared" si="77"/>
        <v>3210</v>
      </c>
      <c r="U174" s="208">
        <f t="shared" si="78"/>
        <v>1155.5999999999999</v>
      </c>
      <c r="V174" s="39">
        <v>0.08</v>
      </c>
      <c r="W174" s="40">
        <v>44377</v>
      </c>
      <c r="X174" s="41">
        <f t="shared" si="74"/>
        <v>27</v>
      </c>
      <c r="Y174" s="42">
        <f t="shared" si="75"/>
        <v>2.25</v>
      </c>
    </row>
    <row r="175" spans="1:25" s="149" customFormat="1" x14ac:dyDescent="0.2">
      <c r="A175" s="214" t="s">
        <v>90</v>
      </c>
      <c r="B175" s="215" t="s">
        <v>209</v>
      </c>
      <c r="C175" s="216" t="s">
        <v>210</v>
      </c>
      <c r="D175" s="217" t="s">
        <v>34</v>
      </c>
      <c r="E175" s="218">
        <v>44033</v>
      </c>
      <c r="F175" s="219">
        <v>6879.6</v>
      </c>
      <c r="G175" s="220">
        <f t="shared" si="70"/>
        <v>458.64000000000004</v>
      </c>
      <c r="H175" s="219"/>
      <c r="I175" s="220">
        <f t="shared" si="71"/>
        <v>32104.800000000003</v>
      </c>
      <c r="J175" s="220">
        <f t="shared" si="72"/>
        <v>6604.4160000000011</v>
      </c>
      <c r="K175" s="221"/>
      <c r="L175" s="222"/>
      <c r="M175" s="464">
        <v>6370</v>
      </c>
      <c r="N175" s="87">
        <f t="shared" si="76"/>
        <v>6879.6</v>
      </c>
      <c r="O175" s="34">
        <v>70</v>
      </c>
      <c r="P175" s="34">
        <v>14.4</v>
      </c>
      <c r="Q175" s="51">
        <v>44033</v>
      </c>
      <c r="R175" s="441">
        <v>0</v>
      </c>
      <c r="S175" s="157">
        <f t="shared" si="73"/>
        <v>6879.6</v>
      </c>
      <c r="T175" s="159">
        <f t="shared" si="77"/>
        <v>6370</v>
      </c>
      <c r="U175" s="208">
        <f t="shared" si="78"/>
        <v>2293.2000000000003</v>
      </c>
      <c r="V175" s="39">
        <v>0.08</v>
      </c>
      <c r="W175" s="161">
        <v>44377</v>
      </c>
      <c r="X175" s="162">
        <f t="shared" si="74"/>
        <v>11</v>
      </c>
      <c r="Y175" s="163">
        <f t="shared" si="75"/>
        <v>0.91666666666666663</v>
      </c>
    </row>
    <row r="176" spans="1:25" x14ac:dyDescent="0.2">
      <c r="A176" s="52"/>
      <c r="B176" s="223" t="s">
        <v>211</v>
      </c>
      <c r="C176" s="44" t="s">
        <v>212</v>
      </c>
      <c r="D176" s="224" t="s">
        <v>34</v>
      </c>
      <c r="E176" s="225">
        <v>43367</v>
      </c>
      <c r="F176" s="226">
        <v>7322.5056240000013</v>
      </c>
      <c r="G176" s="124">
        <f t="shared" si="70"/>
        <v>488.16704160000006</v>
      </c>
      <c r="H176" s="226"/>
      <c r="I176" s="124">
        <f t="shared" si="71"/>
        <v>34171.692912000006</v>
      </c>
      <c r="J176" s="124">
        <f t="shared" si="72"/>
        <v>7029.6053990400014</v>
      </c>
      <c r="K176" s="125"/>
      <c r="L176" s="50"/>
      <c r="M176" s="464">
        <v>6780.0978000000005</v>
      </c>
      <c r="N176" s="87">
        <f t="shared" si="76"/>
        <v>7322.5056240000013</v>
      </c>
      <c r="O176" s="34">
        <v>70</v>
      </c>
      <c r="P176" s="34">
        <v>14.4</v>
      </c>
      <c r="Q176" s="51">
        <v>43367</v>
      </c>
      <c r="R176" s="444">
        <v>0</v>
      </c>
      <c r="S176" s="60">
        <f t="shared" si="73"/>
        <v>7322.5056240000013</v>
      </c>
      <c r="T176" s="61">
        <f t="shared" si="77"/>
        <v>6780.0978000000005</v>
      </c>
      <c r="U176" s="208">
        <f t="shared" si="78"/>
        <v>2440.8352080000004</v>
      </c>
      <c r="V176" s="39">
        <v>0.08</v>
      </c>
      <c r="W176" s="40">
        <v>44377</v>
      </c>
      <c r="X176" s="41">
        <f t="shared" si="74"/>
        <v>33</v>
      </c>
      <c r="Y176" s="42">
        <f t="shared" si="75"/>
        <v>2.75</v>
      </c>
    </row>
    <row r="177" spans="1:25" x14ac:dyDescent="0.2">
      <c r="A177" s="52" t="s">
        <v>90</v>
      </c>
      <c r="B177" s="223" t="s">
        <v>213</v>
      </c>
      <c r="C177" s="44" t="s">
        <v>61</v>
      </c>
      <c r="D177" s="90" t="s">
        <v>30</v>
      </c>
      <c r="E177" s="225">
        <v>43617</v>
      </c>
      <c r="F177" s="226">
        <v>4044.6000000000004</v>
      </c>
      <c r="G177" s="124">
        <f t="shared" si="70"/>
        <v>269.64000000000004</v>
      </c>
      <c r="H177" s="226"/>
      <c r="I177" s="124">
        <f t="shared" si="71"/>
        <v>18874.800000000003</v>
      </c>
      <c r="J177" s="124">
        <f t="shared" si="72"/>
        <v>3882.8160000000007</v>
      </c>
      <c r="K177" s="125"/>
      <c r="L177" s="50"/>
      <c r="M177" s="464">
        <v>3745</v>
      </c>
      <c r="N177" s="87">
        <f t="shared" si="76"/>
        <v>4044.6000000000004</v>
      </c>
      <c r="O177" s="34">
        <v>70</v>
      </c>
      <c r="P177" s="34">
        <v>14.4</v>
      </c>
      <c r="Q177" s="51">
        <v>43617</v>
      </c>
      <c r="R177" s="441">
        <v>0</v>
      </c>
      <c r="S177" s="60">
        <f t="shared" si="73"/>
        <v>4044.6000000000004</v>
      </c>
      <c r="T177" s="61">
        <f t="shared" si="77"/>
        <v>3745</v>
      </c>
      <c r="U177" s="208">
        <f t="shared" si="78"/>
        <v>1348.2000000000003</v>
      </c>
      <c r="V177" s="39">
        <v>0.08</v>
      </c>
      <c r="W177" s="40">
        <v>44377</v>
      </c>
      <c r="X177" s="41">
        <f t="shared" si="74"/>
        <v>24</v>
      </c>
      <c r="Y177" s="42">
        <f t="shared" si="75"/>
        <v>2</v>
      </c>
    </row>
    <row r="178" spans="1:25" x14ac:dyDescent="0.2">
      <c r="A178" s="52"/>
      <c r="B178" s="43" t="s">
        <v>214</v>
      </c>
      <c r="C178" s="44" t="s">
        <v>215</v>
      </c>
      <c r="D178" s="213" t="s">
        <v>34</v>
      </c>
      <c r="E178" s="46">
        <v>43344</v>
      </c>
      <c r="F178" s="48">
        <v>12383.467380000004</v>
      </c>
      <c r="G178" s="47">
        <f t="shared" si="70"/>
        <v>825.5644920000002</v>
      </c>
      <c r="H178" s="48"/>
      <c r="I178" s="47">
        <f t="shared" si="71"/>
        <v>57789.514440000014</v>
      </c>
      <c r="J178" s="47">
        <f t="shared" si="72"/>
        <v>11888.128684800004</v>
      </c>
      <c r="K178" s="49"/>
      <c r="L178" s="50"/>
      <c r="M178" s="455">
        <v>11466.173500000003</v>
      </c>
      <c r="N178" s="87">
        <f t="shared" si="76"/>
        <v>12383.467380000004</v>
      </c>
      <c r="O178" s="34">
        <v>70</v>
      </c>
      <c r="P178" s="34">
        <v>14.4</v>
      </c>
      <c r="Q178" s="51">
        <v>43344</v>
      </c>
      <c r="R178" s="444">
        <v>0</v>
      </c>
      <c r="S178" s="60">
        <f t="shared" si="73"/>
        <v>12383.467380000004</v>
      </c>
      <c r="T178" s="61">
        <f t="shared" si="77"/>
        <v>11466.173500000003</v>
      </c>
      <c r="U178" s="208">
        <f t="shared" si="78"/>
        <v>4127.8224600000012</v>
      </c>
      <c r="V178" s="39">
        <v>0.08</v>
      </c>
      <c r="W178" s="40">
        <v>44377</v>
      </c>
      <c r="X178" s="41">
        <f t="shared" si="74"/>
        <v>33</v>
      </c>
      <c r="Y178" s="42">
        <f t="shared" si="75"/>
        <v>2.75</v>
      </c>
    </row>
    <row r="179" spans="1:25" ht="12.75" customHeight="1" x14ac:dyDescent="0.2">
      <c r="A179" s="52"/>
      <c r="B179" s="210" t="s">
        <v>216</v>
      </c>
      <c r="C179" s="211" t="s">
        <v>217</v>
      </c>
      <c r="D179" s="213" t="s">
        <v>34</v>
      </c>
      <c r="E179" s="106">
        <v>43344</v>
      </c>
      <c r="F179" s="47">
        <v>8645.5520640000013</v>
      </c>
      <c r="G179" s="47">
        <f t="shared" si="70"/>
        <v>576.37013760000013</v>
      </c>
      <c r="H179" s="47"/>
      <c r="I179" s="47">
        <f t="shared" si="71"/>
        <v>40345.90963200001</v>
      </c>
      <c r="J179" s="47">
        <f t="shared" si="72"/>
        <v>8299.729981440003</v>
      </c>
      <c r="K179" s="49"/>
      <c r="L179" s="31"/>
      <c r="M179" s="454">
        <v>5152</v>
      </c>
      <c r="N179" s="87">
        <f t="shared" si="76"/>
        <v>5564.1600000000008</v>
      </c>
      <c r="O179" s="34">
        <v>70</v>
      </c>
      <c r="P179" s="34">
        <v>14.4</v>
      </c>
      <c r="Q179" s="35">
        <v>43344</v>
      </c>
      <c r="R179" s="441">
        <v>0</v>
      </c>
      <c r="S179" s="60">
        <f t="shared" si="73"/>
        <v>5564.1600000000008</v>
      </c>
      <c r="T179" s="61">
        <f t="shared" si="77"/>
        <v>5152</v>
      </c>
      <c r="U179" s="208">
        <f t="shared" si="78"/>
        <v>1854.7200000000003</v>
      </c>
      <c r="V179" s="39">
        <v>0.08</v>
      </c>
      <c r="W179" s="40">
        <v>44377</v>
      </c>
      <c r="X179" s="41">
        <f t="shared" si="74"/>
        <v>33</v>
      </c>
      <c r="Y179" s="42">
        <f t="shared" si="75"/>
        <v>2.75</v>
      </c>
    </row>
    <row r="180" spans="1:25" x14ac:dyDescent="0.2">
      <c r="A180" s="52"/>
      <c r="B180" s="43" t="s">
        <v>218</v>
      </c>
      <c r="C180" s="44" t="s">
        <v>219</v>
      </c>
      <c r="D180" s="45" t="s">
        <v>30</v>
      </c>
      <c r="E180" s="46">
        <v>43450</v>
      </c>
      <c r="F180" s="48">
        <v>5564.2140000000009</v>
      </c>
      <c r="G180" s="47">
        <f t="shared" si="70"/>
        <v>370.94760000000008</v>
      </c>
      <c r="H180" s="48"/>
      <c r="I180" s="47">
        <f t="shared" si="71"/>
        <v>25966.332000000006</v>
      </c>
      <c r="J180" s="47">
        <f t="shared" si="72"/>
        <v>5341.6454400000011</v>
      </c>
      <c r="K180" s="49"/>
      <c r="L180" s="50"/>
      <c r="M180" s="455">
        <v>8005</v>
      </c>
      <c r="N180" s="87">
        <f t="shared" si="76"/>
        <v>8645.4000000000015</v>
      </c>
      <c r="O180" s="34">
        <v>70</v>
      </c>
      <c r="P180" s="34">
        <v>14.4</v>
      </c>
      <c r="Q180" s="51">
        <v>43450</v>
      </c>
      <c r="R180" s="441">
        <v>0</v>
      </c>
      <c r="S180" s="60">
        <f t="shared" si="73"/>
        <v>8645.4000000000015</v>
      </c>
      <c r="T180" s="61">
        <f t="shared" si="77"/>
        <v>8005.0000000000009</v>
      </c>
      <c r="U180" s="208">
        <f t="shared" si="78"/>
        <v>2881.8000000000006</v>
      </c>
      <c r="V180" s="39">
        <v>0.08</v>
      </c>
      <c r="W180" s="40">
        <v>44377</v>
      </c>
      <c r="X180" s="41">
        <f t="shared" si="74"/>
        <v>30</v>
      </c>
      <c r="Y180" s="42">
        <f t="shared" si="75"/>
        <v>2.5</v>
      </c>
    </row>
    <row r="181" spans="1:25" ht="12.75" customHeight="1" x14ac:dyDescent="0.2">
      <c r="A181" s="52"/>
      <c r="B181" s="43" t="s">
        <v>220</v>
      </c>
      <c r="C181" s="44" t="s">
        <v>221</v>
      </c>
      <c r="D181" s="45" t="s">
        <v>51</v>
      </c>
      <c r="E181" s="46">
        <v>32874</v>
      </c>
      <c r="F181" s="48">
        <v>6126.817860000001</v>
      </c>
      <c r="G181" s="47">
        <f t="shared" si="70"/>
        <v>408.45452400000005</v>
      </c>
      <c r="H181" s="48"/>
      <c r="I181" s="47">
        <f t="shared" si="71"/>
        <v>28591.816680000004</v>
      </c>
      <c r="J181" s="47">
        <f t="shared" si="72"/>
        <v>7842.3268608000008</v>
      </c>
      <c r="K181" s="49">
        <f>F181/15*12+R181+R181</f>
        <v>6656.4542880000008</v>
      </c>
      <c r="L181" s="50"/>
      <c r="M181" s="455">
        <v>5672.9795000000004</v>
      </c>
      <c r="N181" s="87">
        <f t="shared" si="76"/>
        <v>6126.817860000001</v>
      </c>
      <c r="O181" s="34">
        <v>70</v>
      </c>
      <c r="P181" s="34">
        <v>19.2</v>
      </c>
      <c r="Q181" s="51">
        <v>32874</v>
      </c>
      <c r="R181" s="441">
        <v>877.5</v>
      </c>
      <c r="S181" s="60">
        <f t="shared" si="73"/>
        <v>6126.817860000001</v>
      </c>
      <c r="T181" s="61">
        <f t="shared" si="77"/>
        <v>5672.9795000000004</v>
      </c>
      <c r="U181" s="208">
        <f t="shared" si="78"/>
        <v>2042.2726200000002</v>
      </c>
      <c r="V181" s="39">
        <v>0.08</v>
      </c>
      <c r="W181" s="40">
        <v>44377</v>
      </c>
      <c r="X181" s="41">
        <f t="shared" si="74"/>
        <v>377</v>
      </c>
      <c r="Y181" s="42">
        <f t="shared" si="75"/>
        <v>31.416666666666668</v>
      </c>
    </row>
    <row r="182" spans="1:25" ht="12" customHeight="1" x14ac:dyDescent="0.2">
      <c r="A182" s="52"/>
      <c r="B182" s="43" t="s">
        <v>222</v>
      </c>
      <c r="C182" s="44" t="s">
        <v>223</v>
      </c>
      <c r="D182" s="45" t="s">
        <v>51</v>
      </c>
      <c r="E182" s="46">
        <v>33970</v>
      </c>
      <c r="F182" s="48">
        <v>3522.7657080000008</v>
      </c>
      <c r="G182" s="47">
        <f t="shared" si="70"/>
        <v>234.85104720000007</v>
      </c>
      <c r="H182" s="48"/>
      <c r="I182" s="47">
        <f t="shared" si="71"/>
        <v>16439.573304000005</v>
      </c>
      <c r="J182" s="47">
        <f t="shared" si="72"/>
        <v>4509.1401062400009</v>
      </c>
      <c r="K182" s="49">
        <f>F182/15*12+R182+R182</f>
        <v>4573.2125664000014</v>
      </c>
      <c r="L182" s="50"/>
      <c r="M182" s="455">
        <v>3261.8201000000004</v>
      </c>
      <c r="N182" s="87">
        <f t="shared" si="76"/>
        <v>3522.7657080000008</v>
      </c>
      <c r="O182" s="34">
        <v>70</v>
      </c>
      <c r="P182" s="34">
        <v>19.2</v>
      </c>
      <c r="Q182" s="51">
        <v>33970</v>
      </c>
      <c r="R182" s="441">
        <v>877.5</v>
      </c>
      <c r="S182" s="60">
        <f t="shared" si="73"/>
        <v>3522.7657080000008</v>
      </c>
      <c r="T182" s="61">
        <f t="shared" si="77"/>
        <v>3261.8201000000004</v>
      </c>
      <c r="U182" s="208">
        <f t="shared" si="78"/>
        <v>1174.2552360000004</v>
      </c>
      <c r="V182" s="39">
        <v>0.08</v>
      </c>
      <c r="W182" s="40">
        <v>44377</v>
      </c>
      <c r="X182" s="41">
        <f t="shared" si="74"/>
        <v>341</v>
      </c>
      <c r="Y182" s="42">
        <f t="shared" si="75"/>
        <v>28.416666666666668</v>
      </c>
    </row>
    <row r="183" spans="1:25" ht="12" customHeight="1" thickBot="1" x14ac:dyDescent="0.25">
      <c r="A183" s="52"/>
      <c r="B183" s="53" t="s">
        <v>224</v>
      </c>
      <c r="C183" s="183" t="s">
        <v>61</v>
      </c>
      <c r="D183" s="55" t="s">
        <v>30</v>
      </c>
      <c r="E183" s="184">
        <v>43606</v>
      </c>
      <c r="F183" s="96">
        <v>4138.2036000000007</v>
      </c>
      <c r="G183" s="57">
        <f t="shared" si="70"/>
        <v>275.88024000000007</v>
      </c>
      <c r="H183" s="96"/>
      <c r="I183" s="57">
        <f t="shared" si="71"/>
        <v>19311.616800000003</v>
      </c>
      <c r="J183" s="57">
        <f t="shared" si="72"/>
        <v>3972.6754560000013</v>
      </c>
      <c r="K183" s="58"/>
      <c r="L183" s="50"/>
      <c r="M183" s="456">
        <v>3831.67</v>
      </c>
      <c r="N183" s="87">
        <f t="shared" si="76"/>
        <v>4138.2036000000007</v>
      </c>
      <c r="O183" s="34">
        <v>70</v>
      </c>
      <c r="P183" s="34">
        <v>14.4</v>
      </c>
      <c r="Q183" s="51">
        <v>43606</v>
      </c>
      <c r="R183" s="441">
        <v>0</v>
      </c>
      <c r="S183" s="60">
        <f t="shared" si="73"/>
        <v>4138.2036000000007</v>
      </c>
      <c r="T183" s="61">
        <f t="shared" si="77"/>
        <v>3831.6700000000005</v>
      </c>
      <c r="U183" s="208">
        <f t="shared" si="78"/>
        <v>1379.4012000000002</v>
      </c>
      <c r="V183" s="39">
        <v>0.08</v>
      </c>
      <c r="W183" s="40">
        <v>44377</v>
      </c>
      <c r="X183" s="41">
        <f t="shared" si="74"/>
        <v>25</v>
      </c>
      <c r="Y183" s="42">
        <f t="shared" si="75"/>
        <v>2.0833333333333335</v>
      </c>
    </row>
    <row r="184" spans="1:25" ht="12.75" customHeight="1" thickBot="1" x14ac:dyDescent="0.25">
      <c r="A184" s="52"/>
      <c r="B184" s="227"/>
      <c r="C184" s="227"/>
      <c r="D184" s="115"/>
      <c r="E184" s="206"/>
      <c r="F184" s="228"/>
      <c r="G184" s="228"/>
      <c r="H184" s="229"/>
      <c r="I184" s="230"/>
      <c r="J184" s="230"/>
      <c r="L184" s="31"/>
      <c r="M184" s="84"/>
      <c r="N184" s="64"/>
      <c r="Q184" s="206"/>
      <c r="S184" s="84"/>
      <c r="V184" s="66"/>
      <c r="W184" s="67"/>
      <c r="X184" s="68"/>
    </row>
    <row r="185" spans="1:25" x14ac:dyDescent="0.2">
      <c r="B185" s="69" t="s">
        <v>39</v>
      </c>
      <c r="C185" s="69" t="s">
        <v>40</v>
      </c>
      <c r="E185" s="71" t="s">
        <v>41</v>
      </c>
      <c r="F185" s="231">
        <f t="shared" ref="F185:K185" si="87">SUM(F156:F184)</f>
        <v>167150.17277200005</v>
      </c>
      <c r="G185" s="231">
        <f t="shared" si="87"/>
        <v>11143.344851466669</v>
      </c>
      <c r="H185" s="231">
        <f t="shared" si="87"/>
        <v>12300</v>
      </c>
      <c r="I185" s="231">
        <f t="shared" si="87"/>
        <v>780034.13960266695</v>
      </c>
      <c r="J185" s="231">
        <f t="shared" si="87"/>
        <v>175952.74984832</v>
      </c>
      <c r="K185" s="231">
        <f t="shared" si="87"/>
        <v>47758.699968000015</v>
      </c>
      <c r="L185" s="73"/>
      <c r="M185" s="5" t="s">
        <v>42</v>
      </c>
      <c r="N185" s="64"/>
      <c r="S185" s="84"/>
      <c r="V185" s="66"/>
      <c r="W185" s="67"/>
      <c r="X185" s="68"/>
    </row>
    <row r="186" spans="1:25" ht="19.5" customHeight="1" thickBot="1" x14ac:dyDescent="0.25">
      <c r="B186" s="69" t="s">
        <v>43</v>
      </c>
      <c r="C186" s="69" t="s">
        <v>44</v>
      </c>
      <c r="E186" s="232" t="s">
        <v>46</v>
      </c>
      <c r="F186" s="233">
        <f>F185*24</f>
        <v>4011604.1465280009</v>
      </c>
      <c r="G186" s="233">
        <f>G185*5</f>
        <v>55716.724257333342</v>
      </c>
      <c r="H186" s="233">
        <f>H185*24</f>
        <v>295200</v>
      </c>
      <c r="I186" s="233">
        <f>I185</f>
        <v>780034.13960266695</v>
      </c>
      <c r="J186" s="233">
        <f>J185</f>
        <v>175952.74984832</v>
      </c>
      <c r="K186" s="234">
        <f>K185</f>
        <v>47758.699968000015</v>
      </c>
      <c r="L186" s="73"/>
      <c r="M186" s="77">
        <f>SUM(F186:K186)</f>
        <v>5366266.460204321</v>
      </c>
      <c r="N186" s="78"/>
      <c r="O186" s="80"/>
      <c r="P186" s="80"/>
      <c r="Q186" s="176"/>
      <c r="R186" s="81">
        <f>SUM(R156:R183)</f>
        <v>6516.12</v>
      </c>
      <c r="S186" s="103">
        <f>M186*(1+V186)</f>
        <v>5741905.1124186236</v>
      </c>
      <c r="T186" s="77"/>
      <c r="U186" s="177">
        <f>SUM(U156:U183)</f>
        <v>56151.182088000016</v>
      </c>
      <c r="V186" s="82">
        <v>7.0000000000000007E-2</v>
      </c>
      <c r="W186" s="83"/>
      <c r="X186" s="178"/>
      <c r="Y186" s="179"/>
    </row>
    <row r="187" spans="1:25" ht="13.5" x14ac:dyDescent="0.2">
      <c r="B187" s="19"/>
      <c r="C187" s="19"/>
      <c r="D187" s="19"/>
      <c r="E187" s="19"/>
      <c r="F187" s="20"/>
      <c r="G187" s="20"/>
      <c r="H187" s="20"/>
      <c r="I187" s="20"/>
      <c r="J187" s="20"/>
      <c r="K187" s="22"/>
      <c r="L187" s="19"/>
      <c r="N187" s="64"/>
      <c r="S187" s="84"/>
      <c r="V187" s="66"/>
      <c r="W187" s="67"/>
      <c r="X187" s="68"/>
    </row>
    <row r="188" spans="1:25" ht="15" x14ac:dyDescent="0.25">
      <c r="B188" s="13"/>
      <c r="C188" s="13"/>
      <c r="D188" s="13" t="s">
        <v>639</v>
      </c>
      <c r="E188" s="13"/>
      <c r="F188" s="13"/>
      <c r="G188" s="13"/>
      <c r="H188" s="13"/>
      <c r="I188" s="14"/>
      <c r="J188" s="13"/>
      <c r="K188" s="13"/>
      <c r="L188" s="15"/>
      <c r="N188" s="64"/>
      <c r="S188" s="84"/>
      <c r="V188" s="66"/>
      <c r="W188" s="67"/>
      <c r="X188" s="68"/>
    </row>
    <row r="189" spans="1:25" ht="15" x14ac:dyDescent="0.25">
      <c r="B189" s="16" t="s">
        <v>4</v>
      </c>
      <c r="C189" s="16"/>
      <c r="D189" s="13" t="s">
        <v>225</v>
      </c>
      <c r="E189" s="13"/>
      <c r="F189" s="14"/>
      <c r="G189" s="14"/>
      <c r="H189" s="476"/>
      <c r="I189" s="476"/>
      <c r="J189" s="14"/>
      <c r="K189" s="17"/>
      <c r="L189" s="18"/>
      <c r="N189" s="64"/>
      <c r="S189" s="84"/>
      <c r="V189" s="66"/>
      <c r="W189" s="67"/>
      <c r="X189" s="68"/>
    </row>
    <row r="190" spans="1:25" ht="14.25" thickBot="1" x14ac:dyDescent="0.25">
      <c r="B190" s="19"/>
      <c r="C190" s="19"/>
      <c r="D190" s="19"/>
      <c r="E190" s="19"/>
      <c r="F190" s="20"/>
      <c r="G190" s="20"/>
      <c r="H190" s="20"/>
      <c r="I190" s="20"/>
      <c r="J190" s="20"/>
      <c r="K190" s="22"/>
      <c r="L190" s="19"/>
      <c r="N190" s="64"/>
      <c r="S190" s="84"/>
      <c r="V190" s="66"/>
      <c r="W190" s="67"/>
      <c r="X190" s="68"/>
    </row>
    <row r="191" spans="1:25" ht="12.75" customHeight="1" x14ac:dyDescent="0.2">
      <c r="B191" s="477" t="s">
        <v>6</v>
      </c>
      <c r="C191" s="479" t="s">
        <v>7</v>
      </c>
      <c r="D191" s="479" t="s">
        <v>8</v>
      </c>
      <c r="E191" s="479" t="s">
        <v>9</v>
      </c>
      <c r="F191" s="481" t="s">
        <v>10</v>
      </c>
      <c r="G191" s="483" t="s">
        <v>11</v>
      </c>
      <c r="H191" s="481" t="s">
        <v>12</v>
      </c>
      <c r="I191" s="479" t="s">
        <v>13</v>
      </c>
      <c r="J191" s="479" t="s">
        <v>14</v>
      </c>
      <c r="K191" s="493" t="s">
        <v>15</v>
      </c>
      <c r="L191" s="23"/>
      <c r="M191" s="495" t="s">
        <v>16</v>
      </c>
      <c r="N191" s="495" t="s">
        <v>17</v>
      </c>
      <c r="O191" s="489" t="s">
        <v>18</v>
      </c>
      <c r="P191" s="489" t="s">
        <v>19</v>
      </c>
      <c r="Q191" s="489" t="s">
        <v>20</v>
      </c>
      <c r="R191" s="490" t="s">
        <v>21</v>
      </c>
      <c r="S191" s="495" t="s">
        <v>22</v>
      </c>
      <c r="T191" s="495" t="s">
        <v>16</v>
      </c>
      <c r="U191" s="498" t="s">
        <v>23</v>
      </c>
      <c r="V191" s="498" t="s">
        <v>24</v>
      </c>
      <c r="W191" s="489" t="s">
        <v>25</v>
      </c>
      <c r="X191" s="489" t="s">
        <v>26</v>
      </c>
      <c r="Y191" s="497" t="s">
        <v>27</v>
      </c>
    </row>
    <row r="192" spans="1:25" ht="13.5" customHeight="1" thickBot="1" x14ac:dyDescent="0.25">
      <c r="B192" s="478"/>
      <c r="C192" s="480"/>
      <c r="D192" s="480"/>
      <c r="E192" s="480"/>
      <c r="F192" s="482"/>
      <c r="G192" s="484"/>
      <c r="H192" s="482"/>
      <c r="I192" s="480"/>
      <c r="J192" s="480"/>
      <c r="K192" s="494"/>
      <c r="L192" s="23"/>
      <c r="M192" s="495"/>
      <c r="N192" s="495"/>
      <c r="O192" s="489"/>
      <c r="P192" s="489"/>
      <c r="Q192" s="489"/>
      <c r="R192" s="490"/>
      <c r="S192" s="495"/>
      <c r="T192" s="495"/>
      <c r="U192" s="498"/>
      <c r="V192" s="498"/>
      <c r="W192" s="489"/>
      <c r="X192" s="489"/>
      <c r="Y192" s="497"/>
    </row>
    <row r="193" spans="1:25" ht="13.5" thickBot="1" x14ac:dyDescent="0.25">
      <c r="D193" s="6"/>
      <c r="N193" s="64"/>
      <c r="S193" s="84"/>
      <c r="V193" s="66"/>
      <c r="W193" s="67"/>
      <c r="X193" s="68"/>
    </row>
    <row r="194" spans="1:25" ht="12.75" customHeight="1" x14ac:dyDescent="0.2">
      <c r="A194" s="52"/>
      <c r="B194" s="25" t="s">
        <v>226</v>
      </c>
      <c r="C194" s="26" t="s">
        <v>227</v>
      </c>
      <c r="D194" s="27" t="s">
        <v>51</v>
      </c>
      <c r="E194" s="28">
        <v>35108</v>
      </c>
      <c r="F194" s="29">
        <v>6672.1108320000012</v>
      </c>
      <c r="G194" s="29">
        <f>F194/15</f>
        <v>444.80738880000007</v>
      </c>
      <c r="H194" s="29">
        <v>500</v>
      </c>
      <c r="I194" s="29">
        <f t="shared" ref="I194:I227" si="88">F194/15*O194</f>
        <v>31136.517216000004</v>
      </c>
      <c r="J194" s="29">
        <f t="shared" ref="J194:J231" si="89">F194/15*P194</f>
        <v>8540.3018649600017</v>
      </c>
      <c r="K194" s="30">
        <f>F194/15*12+R194+R194</f>
        <v>7092.6886656000006</v>
      </c>
      <c r="L194" s="235"/>
      <c r="M194" s="453">
        <v>6177.8804000000009</v>
      </c>
      <c r="N194" s="33">
        <f>M194*(1+8%)</f>
        <v>6672.1108320000012</v>
      </c>
      <c r="O194" s="34">
        <v>70</v>
      </c>
      <c r="P194" s="34">
        <v>19.2</v>
      </c>
      <c r="Q194" s="35">
        <v>35108</v>
      </c>
      <c r="R194" s="441">
        <v>877.5</v>
      </c>
      <c r="S194" s="60">
        <f t="shared" ref="S194:S231" si="90">M194*(1+V194)</f>
        <v>6672.1108320000012</v>
      </c>
      <c r="T194" s="61">
        <f>S194/1.08</f>
        <v>6177.8804000000009</v>
      </c>
      <c r="U194" s="236">
        <f>S194/15*5</f>
        <v>2224.0369440000004</v>
      </c>
      <c r="V194" s="39">
        <v>0.08</v>
      </c>
      <c r="W194" s="40">
        <v>44377</v>
      </c>
      <c r="X194" s="41">
        <f t="shared" ref="X194:X231" si="91">(YEAR(W194)-YEAR(E194))*12+MONTH(W194)-MONTH(E194)</f>
        <v>304</v>
      </c>
      <c r="Y194" s="42">
        <f t="shared" ref="Y194:Y231" si="92">X194/12</f>
        <v>25.333333333333332</v>
      </c>
    </row>
    <row r="195" spans="1:25" ht="12.75" customHeight="1" x14ac:dyDescent="0.2">
      <c r="A195" s="52"/>
      <c r="B195" s="104" t="s">
        <v>228</v>
      </c>
      <c r="C195" s="105" t="s">
        <v>196</v>
      </c>
      <c r="D195" s="45" t="s">
        <v>30</v>
      </c>
      <c r="E195" s="106">
        <v>43053</v>
      </c>
      <c r="F195" s="47">
        <v>8255.6064000000006</v>
      </c>
      <c r="G195" s="47">
        <f t="shared" ref="G195:G231" si="93">F195/15</f>
        <v>550.37376000000006</v>
      </c>
      <c r="H195" s="47">
        <v>2000</v>
      </c>
      <c r="I195" s="47">
        <f t="shared" si="88"/>
        <v>38526.163200000003</v>
      </c>
      <c r="J195" s="47">
        <f t="shared" si="89"/>
        <v>9246.2791680000009</v>
      </c>
      <c r="K195" s="49"/>
      <c r="L195" s="235"/>
      <c r="M195" s="454">
        <v>7644.0800000000008</v>
      </c>
      <c r="N195" s="33">
        <f t="shared" ref="N195:N231" si="94">M195*(1+8%)</f>
        <v>8255.6064000000006</v>
      </c>
      <c r="O195" s="34">
        <v>70</v>
      </c>
      <c r="P195" s="34">
        <v>16.8</v>
      </c>
      <c r="Q195" s="35">
        <v>43053</v>
      </c>
      <c r="R195" s="441">
        <v>0</v>
      </c>
      <c r="S195" s="60">
        <f t="shared" si="90"/>
        <v>8255.6064000000006</v>
      </c>
      <c r="T195" s="61">
        <f t="shared" ref="T195:T231" si="95">S195/1.08</f>
        <v>7644.08</v>
      </c>
      <c r="U195" s="236">
        <f t="shared" ref="U195:U231" si="96">S195/15*5</f>
        <v>2751.8688000000002</v>
      </c>
      <c r="V195" s="39">
        <v>0.08</v>
      </c>
      <c r="W195" s="40">
        <v>44377</v>
      </c>
      <c r="X195" s="41">
        <f t="shared" si="91"/>
        <v>43</v>
      </c>
      <c r="Y195" s="42">
        <f t="shared" si="92"/>
        <v>3.5833333333333335</v>
      </c>
    </row>
    <row r="196" spans="1:25" ht="12.75" customHeight="1" x14ac:dyDescent="0.2">
      <c r="A196" s="52"/>
      <c r="B196" s="104" t="s">
        <v>229</v>
      </c>
      <c r="C196" s="211" t="s">
        <v>86</v>
      </c>
      <c r="D196" s="45" t="s">
        <v>30</v>
      </c>
      <c r="E196" s="106">
        <v>42401</v>
      </c>
      <c r="F196" s="47">
        <v>1650.7168200000003</v>
      </c>
      <c r="G196" s="47">
        <f t="shared" si="93"/>
        <v>110.04778800000003</v>
      </c>
      <c r="H196" s="47"/>
      <c r="I196" s="47">
        <f t="shared" si="88"/>
        <v>7703.3451600000017</v>
      </c>
      <c r="J196" s="47">
        <f t="shared" si="89"/>
        <v>2112.9175296000003</v>
      </c>
      <c r="K196" s="49">
        <f t="shared" ref="K196:K199" si="97">F196/15*12+R196+R196</f>
        <v>1990.8934560000005</v>
      </c>
      <c r="L196" s="31"/>
      <c r="M196" s="454">
        <v>1528.4415000000001</v>
      </c>
      <c r="N196" s="33">
        <f t="shared" si="94"/>
        <v>1650.7168200000003</v>
      </c>
      <c r="O196" s="34">
        <v>70</v>
      </c>
      <c r="P196" s="34">
        <v>19.2</v>
      </c>
      <c r="Q196" s="35">
        <v>42401</v>
      </c>
      <c r="R196" s="441">
        <v>335.16</v>
      </c>
      <c r="S196" s="60">
        <f t="shared" si="90"/>
        <v>1650.7168200000003</v>
      </c>
      <c r="T196" s="61">
        <f t="shared" si="95"/>
        <v>1528.4415000000001</v>
      </c>
      <c r="U196" s="236">
        <f t="shared" si="96"/>
        <v>550.23894000000018</v>
      </c>
      <c r="V196" s="39">
        <v>0.08</v>
      </c>
      <c r="W196" s="40">
        <v>44377</v>
      </c>
      <c r="X196" s="41">
        <f t="shared" si="91"/>
        <v>64</v>
      </c>
      <c r="Y196" s="42">
        <f t="shared" si="92"/>
        <v>5.333333333333333</v>
      </c>
    </row>
    <row r="197" spans="1:25" ht="12.75" customHeight="1" x14ac:dyDescent="0.2">
      <c r="A197" s="52"/>
      <c r="B197" s="104" t="s">
        <v>230</v>
      </c>
      <c r="C197" s="211" t="s">
        <v>50</v>
      </c>
      <c r="D197" s="45" t="s">
        <v>51</v>
      </c>
      <c r="E197" s="106">
        <v>35886</v>
      </c>
      <c r="F197" s="47">
        <v>5298.3682200000003</v>
      </c>
      <c r="G197" s="47">
        <f t="shared" si="93"/>
        <v>353.22454800000003</v>
      </c>
      <c r="H197" s="47">
        <v>250</v>
      </c>
      <c r="I197" s="47">
        <f t="shared" si="88"/>
        <v>24725.718360000003</v>
      </c>
      <c r="J197" s="47">
        <f t="shared" si="89"/>
        <v>6781.9113216000005</v>
      </c>
      <c r="K197" s="49">
        <f t="shared" si="97"/>
        <v>5613.2945760000002</v>
      </c>
      <c r="L197" s="31"/>
      <c r="M197" s="454">
        <v>4905.8964999999998</v>
      </c>
      <c r="N197" s="33">
        <f t="shared" si="94"/>
        <v>5298.3682200000003</v>
      </c>
      <c r="O197" s="34">
        <v>70</v>
      </c>
      <c r="P197" s="34">
        <v>19.2</v>
      </c>
      <c r="Q197" s="35">
        <v>35886</v>
      </c>
      <c r="R197" s="441">
        <v>687.3</v>
      </c>
      <c r="S197" s="60">
        <f t="shared" si="90"/>
        <v>5298.3682200000003</v>
      </c>
      <c r="T197" s="61">
        <f t="shared" si="95"/>
        <v>4905.8964999999998</v>
      </c>
      <c r="U197" s="236">
        <f t="shared" si="96"/>
        <v>1766.1227400000002</v>
      </c>
      <c r="V197" s="39">
        <v>0.08</v>
      </c>
      <c r="W197" s="40">
        <v>44377</v>
      </c>
      <c r="X197" s="41">
        <f t="shared" si="91"/>
        <v>278</v>
      </c>
      <c r="Y197" s="42">
        <f t="shared" si="92"/>
        <v>23.166666666666668</v>
      </c>
    </row>
    <row r="198" spans="1:25" x14ac:dyDescent="0.2">
      <c r="A198" s="52"/>
      <c r="B198" s="104" t="s">
        <v>231</v>
      </c>
      <c r="C198" s="211" t="s">
        <v>29</v>
      </c>
      <c r="D198" s="45" t="s">
        <v>30</v>
      </c>
      <c r="E198" s="106">
        <v>42248</v>
      </c>
      <c r="F198" s="47">
        <v>12383.467380000004</v>
      </c>
      <c r="G198" s="47">
        <f t="shared" si="93"/>
        <v>825.5644920000002</v>
      </c>
      <c r="H198" s="47"/>
      <c r="I198" s="47">
        <f t="shared" si="88"/>
        <v>57789.514440000014</v>
      </c>
      <c r="J198" s="47">
        <f t="shared" si="89"/>
        <v>15850.838246400002</v>
      </c>
      <c r="K198" s="49">
        <f t="shared" si="97"/>
        <v>10577.093904000001</v>
      </c>
      <c r="L198" s="31"/>
      <c r="M198" s="454">
        <v>11466.173500000003</v>
      </c>
      <c r="N198" s="33">
        <f t="shared" si="94"/>
        <v>12383.467380000004</v>
      </c>
      <c r="O198" s="34">
        <v>70</v>
      </c>
      <c r="P198" s="34">
        <v>19.2</v>
      </c>
      <c r="Q198" s="35">
        <v>42248</v>
      </c>
      <c r="R198" s="441">
        <v>335.16</v>
      </c>
      <c r="S198" s="60">
        <f t="shared" si="90"/>
        <v>12383.467380000004</v>
      </c>
      <c r="T198" s="61">
        <f t="shared" si="95"/>
        <v>11466.173500000003</v>
      </c>
      <c r="U198" s="236">
        <f t="shared" si="96"/>
        <v>4127.8224600000012</v>
      </c>
      <c r="V198" s="39">
        <v>0.08</v>
      </c>
      <c r="W198" s="40">
        <v>44377</v>
      </c>
      <c r="X198" s="41">
        <f t="shared" si="91"/>
        <v>69</v>
      </c>
      <c r="Y198" s="42">
        <f t="shared" si="92"/>
        <v>5.75</v>
      </c>
    </row>
    <row r="199" spans="1:25" x14ac:dyDescent="0.2">
      <c r="A199" s="52"/>
      <c r="B199" s="104" t="s">
        <v>232</v>
      </c>
      <c r="C199" s="211" t="s">
        <v>233</v>
      </c>
      <c r="D199" s="45" t="s">
        <v>51</v>
      </c>
      <c r="E199" s="106">
        <v>37943</v>
      </c>
      <c r="F199" s="47">
        <v>5298.3682200000003</v>
      </c>
      <c r="G199" s="47">
        <f t="shared" si="93"/>
        <v>353.22454800000003</v>
      </c>
      <c r="H199" s="47">
        <v>250</v>
      </c>
      <c r="I199" s="47">
        <f t="shared" si="88"/>
        <v>24725.718360000003</v>
      </c>
      <c r="J199" s="47">
        <f t="shared" si="89"/>
        <v>6781.9113216000005</v>
      </c>
      <c r="K199" s="49">
        <f t="shared" si="97"/>
        <v>5297.3345759999993</v>
      </c>
      <c r="L199" s="31"/>
      <c r="M199" s="454">
        <v>4905.8964999999998</v>
      </c>
      <c r="N199" s="33">
        <f t="shared" si="94"/>
        <v>5298.3682200000003</v>
      </c>
      <c r="O199" s="34">
        <v>70</v>
      </c>
      <c r="P199" s="34">
        <v>19.2</v>
      </c>
      <c r="Q199" s="35">
        <v>37943</v>
      </c>
      <c r="R199" s="441">
        <v>529.32000000000005</v>
      </c>
      <c r="S199" s="60">
        <f t="shared" si="90"/>
        <v>5298.3682200000003</v>
      </c>
      <c r="T199" s="61">
        <f t="shared" si="95"/>
        <v>4905.8964999999998</v>
      </c>
      <c r="U199" s="236">
        <f t="shared" si="96"/>
        <v>1766.1227400000002</v>
      </c>
      <c r="V199" s="39">
        <v>0.08</v>
      </c>
      <c r="W199" s="40">
        <v>44377</v>
      </c>
      <c r="X199" s="41">
        <f t="shared" si="91"/>
        <v>211</v>
      </c>
      <c r="Y199" s="42">
        <f t="shared" si="92"/>
        <v>17.583333333333332</v>
      </c>
    </row>
    <row r="200" spans="1:25" x14ac:dyDescent="0.2">
      <c r="A200" s="52"/>
      <c r="B200" s="104" t="s">
        <v>234</v>
      </c>
      <c r="C200" s="211" t="s">
        <v>235</v>
      </c>
      <c r="D200" s="45" t="s">
        <v>30</v>
      </c>
      <c r="E200" s="106">
        <v>43754</v>
      </c>
      <c r="F200" s="47">
        <v>4638.5784000000012</v>
      </c>
      <c r="G200" s="47">
        <f t="shared" si="93"/>
        <v>309.23856000000006</v>
      </c>
      <c r="H200" s="47"/>
      <c r="I200" s="47">
        <f t="shared" si="88"/>
        <v>21646.699200000003</v>
      </c>
      <c r="J200" s="47">
        <f t="shared" si="89"/>
        <v>4453.035264000001</v>
      </c>
      <c r="K200" s="49"/>
      <c r="L200" s="31"/>
      <c r="M200" s="454">
        <v>4294.9800000000005</v>
      </c>
      <c r="N200" s="33">
        <f t="shared" si="94"/>
        <v>4638.5784000000012</v>
      </c>
      <c r="O200" s="34">
        <v>70</v>
      </c>
      <c r="P200" s="34">
        <v>14.4</v>
      </c>
      <c r="Q200" s="35">
        <v>43754</v>
      </c>
      <c r="R200" s="441">
        <v>0</v>
      </c>
      <c r="S200" s="60">
        <f t="shared" si="90"/>
        <v>4638.5784000000012</v>
      </c>
      <c r="T200" s="61">
        <f t="shared" si="95"/>
        <v>4294.9800000000005</v>
      </c>
      <c r="U200" s="236">
        <f t="shared" si="96"/>
        <v>1546.1928000000003</v>
      </c>
      <c r="V200" s="39">
        <v>0.08</v>
      </c>
      <c r="W200" s="40">
        <v>44377</v>
      </c>
      <c r="X200" s="41">
        <f t="shared" si="91"/>
        <v>20</v>
      </c>
      <c r="Y200" s="42">
        <f t="shared" si="92"/>
        <v>1.6666666666666667</v>
      </c>
    </row>
    <row r="201" spans="1:25" x14ac:dyDescent="0.2">
      <c r="A201" s="52"/>
      <c r="B201" s="104" t="s">
        <v>236</v>
      </c>
      <c r="C201" s="211" t="s">
        <v>61</v>
      </c>
      <c r="D201" s="45" t="s">
        <v>30</v>
      </c>
      <c r="E201" s="106">
        <v>42826</v>
      </c>
      <c r="F201" s="47">
        <v>3307.3272000000002</v>
      </c>
      <c r="G201" s="47">
        <f t="shared" si="93"/>
        <v>220.48848000000001</v>
      </c>
      <c r="H201" s="47"/>
      <c r="I201" s="47">
        <f t="shared" si="88"/>
        <v>15434.193600000001</v>
      </c>
      <c r="J201" s="47">
        <f t="shared" si="89"/>
        <v>3704.2064640000003</v>
      </c>
      <c r="K201" s="49"/>
      <c r="L201" s="31"/>
      <c r="M201" s="454">
        <v>3062.34</v>
      </c>
      <c r="N201" s="33">
        <f t="shared" si="94"/>
        <v>3307.3272000000002</v>
      </c>
      <c r="O201" s="34">
        <v>70</v>
      </c>
      <c r="P201" s="34">
        <v>16.8</v>
      </c>
      <c r="Q201" s="35">
        <v>42826</v>
      </c>
      <c r="R201" s="441">
        <v>0</v>
      </c>
      <c r="S201" s="60">
        <f t="shared" si="90"/>
        <v>3307.3272000000002</v>
      </c>
      <c r="T201" s="61">
        <f t="shared" si="95"/>
        <v>3062.34</v>
      </c>
      <c r="U201" s="236">
        <f t="shared" si="96"/>
        <v>1102.4424000000001</v>
      </c>
      <c r="V201" s="39">
        <v>0.08</v>
      </c>
      <c r="W201" s="40">
        <v>44377</v>
      </c>
      <c r="X201" s="41">
        <f t="shared" si="91"/>
        <v>50</v>
      </c>
      <c r="Y201" s="42">
        <f t="shared" si="92"/>
        <v>4.166666666666667</v>
      </c>
    </row>
    <row r="202" spans="1:25" x14ac:dyDescent="0.2">
      <c r="A202" s="52"/>
      <c r="B202" s="104" t="s">
        <v>237</v>
      </c>
      <c r="C202" s="211" t="s">
        <v>61</v>
      </c>
      <c r="D202" s="45" t="s">
        <v>30</v>
      </c>
      <c r="E202" s="106">
        <v>43405</v>
      </c>
      <c r="F202" s="47">
        <v>2472.9840000000004</v>
      </c>
      <c r="G202" s="47">
        <f t="shared" si="93"/>
        <v>164.86560000000003</v>
      </c>
      <c r="H202" s="47"/>
      <c r="I202" s="47">
        <f t="shared" si="88"/>
        <v>11540.592000000002</v>
      </c>
      <c r="J202" s="47">
        <f t="shared" si="89"/>
        <v>2374.0646400000005</v>
      </c>
      <c r="K202" s="49"/>
      <c r="L202" s="31"/>
      <c r="M202" s="454">
        <v>2289.8000000000002</v>
      </c>
      <c r="N202" s="33">
        <f t="shared" si="94"/>
        <v>2472.9840000000004</v>
      </c>
      <c r="O202" s="34">
        <v>70</v>
      </c>
      <c r="P202" s="34">
        <v>14.4</v>
      </c>
      <c r="Q202" s="35">
        <v>43405</v>
      </c>
      <c r="R202" s="441">
        <v>0</v>
      </c>
      <c r="S202" s="60">
        <f t="shared" si="90"/>
        <v>2472.9840000000004</v>
      </c>
      <c r="T202" s="61">
        <f t="shared" si="95"/>
        <v>2289.8000000000002</v>
      </c>
      <c r="U202" s="236">
        <f t="shared" si="96"/>
        <v>824.3280000000002</v>
      </c>
      <c r="V202" s="39">
        <v>0.08</v>
      </c>
      <c r="W202" s="40">
        <v>44377</v>
      </c>
      <c r="X202" s="41">
        <f t="shared" si="91"/>
        <v>31</v>
      </c>
      <c r="Y202" s="42">
        <f t="shared" si="92"/>
        <v>2.5833333333333335</v>
      </c>
    </row>
    <row r="203" spans="1:25" x14ac:dyDescent="0.2">
      <c r="A203" s="52"/>
      <c r="B203" s="104" t="s">
        <v>238</v>
      </c>
      <c r="C203" s="211" t="s">
        <v>61</v>
      </c>
      <c r="D203" s="45" t="s">
        <v>30</v>
      </c>
      <c r="E203" s="106">
        <v>43374</v>
      </c>
      <c r="F203" s="47">
        <v>3091.23</v>
      </c>
      <c r="G203" s="47">
        <f t="shared" si="93"/>
        <v>206.08199999999999</v>
      </c>
      <c r="H203" s="47"/>
      <c r="I203" s="47">
        <f t="shared" si="88"/>
        <v>14425.74</v>
      </c>
      <c r="J203" s="47">
        <f t="shared" si="89"/>
        <v>2967.5808000000002</v>
      </c>
      <c r="K203" s="49"/>
      <c r="L203" s="31"/>
      <c r="M203" s="454">
        <v>2862.25</v>
      </c>
      <c r="N203" s="33">
        <f t="shared" si="94"/>
        <v>3091.23</v>
      </c>
      <c r="O203" s="34">
        <v>70</v>
      </c>
      <c r="P203" s="34">
        <v>14.4</v>
      </c>
      <c r="Q203" s="35">
        <v>43374</v>
      </c>
      <c r="R203" s="441">
        <v>0</v>
      </c>
      <c r="S203" s="60">
        <f t="shared" si="90"/>
        <v>3091.23</v>
      </c>
      <c r="T203" s="61">
        <f t="shared" si="95"/>
        <v>2862.25</v>
      </c>
      <c r="U203" s="236">
        <f t="shared" si="96"/>
        <v>1030.4099999999999</v>
      </c>
      <c r="V203" s="39">
        <v>0.08</v>
      </c>
      <c r="W203" s="40">
        <v>44377</v>
      </c>
      <c r="X203" s="41">
        <f t="shared" si="91"/>
        <v>32</v>
      </c>
      <c r="Y203" s="42">
        <f t="shared" si="92"/>
        <v>2.6666666666666665</v>
      </c>
    </row>
    <row r="204" spans="1:25" x14ac:dyDescent="0.2">
      <c r="A204" s="52"/>
      <c r="B204" s="104" t="s">
        <v>239</v>
      </c>
      <c r="C204" s="211" t="s">
        <v>61</v>
      </c>
      <c r="D204" s="45" t="s">
        <v>30</v>
      </c>
      <c r="E204" s="106">
        <v>43374</v>
      </c>
      <c r="F204" s="47">
        <v>3091.23</v>
      </c>
      <c r="G204" s="47">
        <f t="shared" si="93"/>
        <v>206.08199999999999</v>
      </c>
      <c r="H204" s="47"/>
      <c r="I204" s="47">
        <f t="shared" si="88"/>
        <v>14425.74</v>
      </c>
      <c r="J204" s="47">
        <f t="shared" si="89"/>
        <v>2967.5808000000002</v>
      </c>
      <c r="K204" s="49"/>
      <c r="L204" s="31"/>
      <c r="M204" s="454">
        <v>2862.25</v>
      </c>
      <c r="N204" s="33">
        <f t="shared" si="94"/>
        <v>3091.23</v>
      </c>
      <c r="O204" s="34">
        <v>70</v>
      </c>
      <c r="P204" s="34">
        <v>14.4</v>
      </c>
      <c r="Q204" s="35">
        <v>43374</v>
      </c>
      <c r="R204" s="441">
        <v>0</v>
      </c>
      <c r="S204" s="60">
        <f t="shared" si="90"/>
        <v>3091.23</v>
      </c>
      <c r="T204" s="61">
        <f t="shared" si="95"/>
        <v>2862.25</v>
      </c>
      <c r="U204" s="236">
        <f t="shared" si="96"/>
        <v>1030.4099999999999</v>
      </c>
      <c r="V204" s="39">
        <v>0.08</v>
      </c>
      <c r="W204" s="40">
        <v>44377</v>
      </c>
      <c r="X204" s="41">
        <f t="shared" si="91"/>
        <v>32</v>
      </c>
      <c r="Y204" s="42">
        <f t="shared" si="92"/>
        <v>2.6666666666666665</v>
      </c>
    </row>
    <row r="205" spans="1:25" x14ac:dyDescent="0.2">
      <c r="A205" s="52"/>
      <c r="B205" s="104" t="s">
        <v>240</v>
      </c>
      <c r="C205" s="211" t="s">
        <v>61</v>
      </c>
      <c r="D205" s="45" t="s">
        <v>30</v>
      </c>
      <c r="E205" s="106">
        <v>43344</v>
      </c>
      <c r="F205" s="47">
        <v>4945.9680000000008</v>
      </c>
      <c r="G205" s="47">
        <f t="shared" si="93"/>
        <v>329.73120000000006</v>
      </c>
      <c r="H205" s="47">
        <v>1564</v>
      </c>
      <c r="I205" s="47">
        <f t="shared" si="88"/>
        <v>23081.184000000005</v>
      </c>
      <c r="J205" s="47">
        <f t="shared" si="89"/>
        <v>4748.129280000001</v>
      </c>
      <c r="K205" s="49"/>
      <c r="L205" s="31"/>
      <c r="M205" s="454">
        <v>4579.6000000000004</v>
      </c>
      <c r="N205" s="33">
        <f t="shared" si="94"/>
        <v>4945.9680000000008</v>
      </c>
      <c r="O205" s="34">
        <v>70</v>
      </c>
      <c r="P205" s="34">
        <v>14.4</v>
      </c>
      <c r="Q205" s="35">
        <v>43344</v>
      </c>
      <c r="R205" s="441">
        <v>0</v>
      </c>
      <c r="S205" s="60">
        <f t="shared" si="90"/>
        <v>4945.9680000000008</v>
      </c>
      <c r="T205" s="61">
        <f t="shared" si="95"/>
        <v>4579.6000000000004</v>
      </c>
      <c r="U205" s="236">
        <f t="shared" si="96"/>
        <v>1648.6560000000004</v>
      </c>
      <c r="V205" s="39">
        <v>0.08</v>
      </c>
      <c r="W205" s="40">
        <v>44377</v>
      </c>
      <c r="X205" s="41">
        <f t="shared" si="91"/>
        <v>33</v>
      </c>
      <c r="Y205" s="42">
        <f t="shared" si="92"/>
        <v>2.75</v>
      </c>
    </row>
    <row r="206" spans="1:25" x14ac:dyDescent="0.2">
      <c r="A206" s="52"/>
      <c r="B206" s="104" t="s">
        <v>241</v>
      </c>
      <c r="C206" s="211" t="s">
        <v>61</v>
      </c>
      <c r="D206" s="45" t="s">
        <v>30</v>
      </c>
      <c r="E206" s="106">
        <v>43374</v>
      </c>
      <c r="F206" s="47">
        <v>4927.4206200000008</v>
      </c>
      <c r="G206" s="47">
        <f t="shared" si="93"/>
        <v>328.49470800000006</v>
      </c>
      <c r="H206" s="47">
        <v>2000</v>
      </c>
      <c r="I206" s="47">
        <f t="shared" si="88"/>
        <v>22994.629560000005</v>
      </c>
      <c r="J206" s="47">
        <f t="shared" si="89"/>
        <v>4730.3237952000009</v>
      </c>
      <c r="K206" s="49"/>
      <c r="L206" s="31"/>
      <c r="M206" s="454">
        <v>4562.4265000000005</v>
      </c>
      <c r="N206" s="33">
        <f t="shared" si="94"/>
        <v>4927.4206200000008</v>
      </c>
      <c r="O206" s="34">
        <v>70</v>
      </c>
      <c r="P206" s="34">
        <v>14.4</v>
      </c>
      <c r="Q206" s="35">
        <v>43374</v>
      </c>
      <c r="R206" s="441">
        <v>0</v>
      </c>
      <c r="S206" s="60">
        <f t="shared" si="90"/>
        <v>4927.4206200000008</v>
      </c>
      <c r="T206" s="61">
        <f t="shared" si="95"/>
        <v>4562.4265000000005</v>
      </c>
      <c r="U206" s="236">
        <f t="shared" si="96"/>
        <v>1642.4735400000004</v>
      </c>
      <c r="V206" s="39">
        <v>0.08</v>
      </c>
      <c r="W206" s="40">
        <v>44377</v>
      </c>
      <c r="X206" s="41">
        <f t="shared" si="91"/>
        <v>32</v>
      </c>
      <c r="Y206" s="42">
        <f t="shared" si="92"/>
        <v>2.6666666666666665</v>
      </c>
    </row>
    <row r="207" spans="1:25" x14ac:dyDescent="0.2">
      <c r="A207" s="52"/>
      <c r="B207" s="104" t="s">
        <v>242</v>
      </c>
      <c r="C207" s="211" t="s">
        <v>61</v>
      </c>
      <c r="D207" s="45" t="s">
        <v>30</v>
      </c>
      <c r="E207" s="106">
        <v>43344</v>
      </c>
      <c r="F207" s="47">
        <v>6879.8414880000018</v>
      </c>
      <c r="G207" s="47">
        <f t="shared" si="93"/>
        <v>458.65609920000014</v>
      </c>
      <c r="H207" s="47"/>
      <c r="I207" s="47">
        <f t="shared" si="88"/>
        <v>32105.92694400001</v>
      </c>
      <c r="J207" s="47">
        <f t="shared" si="89"/>
        <v>6604.6478284800023</v>
      </c>
      <c r="K207" s="49"/>
      <c r="L207" s="31"/>
      <c r="M207" s="454">
        <v>6370.2236000000012</v>
      </c>
      <c r="N207" s="33">
        <f t="shared" si="94"/>
        <v>6879.8414880000018</v>
      </c>
      <c r="O207" s="34">
        <v>70</v>
      </c>
      <c r="P207" s="34">
        <v>14.4</v>
      </c>
      <c r="Q207" s="35">
        <v>43344</v>
      </c>
      <c r="R207" s="441">
        <v>0</v>
      </c>
      <c r="S207" s="60">
        <f t="shared" si="90"/>
        <v>6879.8414880000018</v>
      </c>
      <c r="T207" s="61">
        <f t="shared" si="95"/>
        <v>6370.2236000000012</v>
      </c>
      <c r="U207" s="236">
        <f t="shared" si="96"/>
        <v>2293.2804960000008</v>
      </c>
      <c r="V207" s="39">
        <v>0.08</v>
      </c>
      <c r="W207" s="40">
        <v>44377</v>
      </c>
      <c r="X207" s="41">
        <f t="shared" si="91"/>
        <v>33</v>
      </c>
      <c r="Y207" s="42">
        <f t="shared" si="92"/>
        <v>2.75</v>
      </c>
    </row>
    <row r="208" spans="1:25" x14ac:dyDescent="0.2">
      <c r="A208" s="52"/>
      <c r="B208" s="104" t="s">
        <v>243</v>
      </c>
      <c r="C208" s="211" t="s">
        <v>61</v>
      </c>
      <c r="D208" s="45" t="s">
        <v>30</v>
      </c>
      <c r="E208" s="106">
        <v>43389</v>
      </c>
      <c r="F208" s="47">
        <v>4945.9680000000008</v>
      </c>
      <c r="G208" s="47">
        <f t="shared" si="93"/>
        <v>329.73120000000006</v>
      </c>
      <c r="H208" s="47"/>
      <c r="I208" s="47">
        <f t="shared" si="88"/>
        <v>23081.184000000005</v>
      </c>
      <c r="J208" s="47">
        <f t="shared" si="89"/>
        <v>4748.129280000001</v>
      </c>
      <c r="K208" s="49"/>
      <c r="L208" s="31"/>
      <c r="M208" s="454">
        <v>4579.6000000000004</v>
      </c>
      <c r="N208" s="33">
        <f t="shared" si="94"/>
        <v>4945.9680000000008</v>
      </c>
      <c r="O208" s="34">
        <v>70</v>
      </c>
      <c r="P208" s="34">
        <v>14.4</v>
      </c>
      <c r="Q208" s="35">
        <v>43389</v>
      </c>
      <c r="R208" s="441">
        <v>0</v>
      </c>
      <c r="S208" s="60">
        <f t="shared" si="90"/>
        <v>4945.9680000000008</v>
      </c>
      <c r="T208" s="61">
        <f t="shared" si="95"/>
        <v>4579.6000000000004</v>
      </c>
      <c r="U208" s="236">
        <f t="shared" si="96"/>
        <v>1648.6560000000004</v>
      </c>
      <c r="V208" s="39">
        <v>0.08</v>
      </c>
      <c r="W208" s="40">
        <v>44377</v>
      </c>
      <c r="X208" s="41">
        <f t="shared" si="91"/>
        <v>32</v>
      </c>
      <c r="Y208" s="42">
        <f t="shared" si="92"/>
        <v>2.6666666666666665</v>
      </c>
    </row>
    <row r="209" spans="1:25" x14ac:dyDescent="0.2">
      <c r="A209" s="52"/>
      <c r="B209" s="104" t="s">
        <v>244</v>
      </c>
      <c r="C209" s="211" t="s">
        <v>61</v>
      </c>
      <c r="D209" s="45" t="s">
        <v>30</v>
      </c>
      <c r="E209" s="106">
        <v>43359</v>
      </c>
      <c r="F209" s="47">
        <v>6182.46</v>
      </c>
      <c r="G209" s="47">
        <f t="shared" si="93"/>
        <v>412.16399999999999</v>
      </c>
      <c r="H209" s="47">
        <v>2500</v>
      </c>
      <c r="I209" s="47">
        <f t="shared" si="88"/>
        <v>28851.48</v>
      </c>
      <c r="J209" s="47">
        <f t="shared" si="89"/>
        <v>5935.1616000000004</v>
      </c>
      <c r="K209" s="49"/>
      <c r="L209" s="31"/>
      <c r="M209" s="454">
        <v>5724.5</v>
      </c>
      <c r="N209" s="33">
        <f t="shared" si="94"/>
        <v>6182.46</v>
      </c>
      <c r="O209" s="34">
        <v>70</v>
      </c>
      <c r="P209" s="34">
        <v>14.4</v>
      </c>
      <c r="Q209" s="35">
        <v>43359</v>
      </c>
      <c r="R209" s="441">
        <v>0</v>
      </c>
      <c r="S209" s="60">
        <f t="shared" si="90"/>
        <v>6182.46</v>
      </c>
      <c r="T209" s="61">
        <f t="shared" si="95"/>
        <v>5724.5</v>
      </c>
      <c r="U209" s="236">
        <f t="shared" si="96"/>
        <v>2060.8199999999997</v>
      </c>
      <c r="V209" s="39">
        <v>0.08</v>
      </c>
      <c r="W209" s="40">
        <v>44377</v>
      </c>
      <c r="X209" s="41">
        <f t="shared" si="91"/>
        <v>33</v>
      </c>
      <c r="Y209" s="42">
        <f t="shared" si="92"/>
        <v>2.75</v>
      </c>
    </row>
    <row r="210" spans="1:25" x14ac:dyDescent="0.2">
      <c r="A210" s="52"/>
      <c r="B210" s="104" t="s">
        <v>245</v>
      </c>
      <c r="C210" s="211" t="s">
        <v>61</v>
      </c>
      <c r="D210" s="45" t="s">
        <v>30</v>
      </c>
      <c r="E210" s="106">
        <v>43374</v>
      </c>
      <c r="F210" s="47">
        <v>2472.9840000000004</v>
      </c>
      <c r="G210" s="47">
        <f t="shared" si="93"/>
        <v>164.86560000000003</v>
      </c>
      <c r="H210" s="47"/>
      <c r="I210" s="47">
        <f t="shared" si="88"/>
        <v>11540.592000000002</v>
      </c>
      <c r="J210" s="47">
        <f t="shared" si="89"/>
        <v>2374.0646400000005</v>
      </c>
      <c r="K210" s="49"/>
      <c r="L210" s="31"/>
      <c r="M210" s="454">
        <v>2289.8000000000002</v>
      </c>
      <c r="N210" s="33">
        <f t="shared" si="94"/>
        <v>2472.9840000000004</v>
      </c>
      <c r="O210" s="34">
        <v>70</v>
      </c>
      <c r="P210" s="34">
        <v>14.4</v>
      </c>
      <c r="Q210" s="35">
        <v>43374</v>
      </c>
      <c r="R210" s="441">
        <v>0</v>
      </c>
      <c r="S210" s="60">
        <f t="shared" si="90"/>
        <v>2472.9840000000004</v>
      </c>
      <c r="T210" s="61">
        <f t="shared" si="95"/>
        <v>2289.8000000000002</v>
      </c>
      <c r="U210" s="236">
        <f t="shared" si="96"/>
        <v>824.3280000000002</v>
      </c>
      <c r="V210" s="39">
        <v>0.08</v>
      </c>
      <c r="W210" s="40">
        <v>44377</v>
      </c>
      <c r="X210" s="41">
        <f t="shared" si="91"/>
        <v>32</v>
      </c>
      <c r="Y210" s="42">
        <f t="shared" si="92"/>
        <v>2.6666666666666665</v>
      </c>
    </row>
    <row r="211" spans="1:25" x14ac:dyDescent="0.2">
      <c r="A211" s="52"/>
      <c r="B211" s="104" t="s">
        <v>246</v>
      </c>
      <c r="C211" s="211" t="s">
        <v>61</v>
      </c>
      <c r="D211" s="45" t="s">
        <v>30</v>
      </c>
      <c r="E211" s="106">
        <v>43405</v>
      </c>
      <c r="F211" s="47">
        <v>2472.9840000000004</v>
      </c>
      <c r="G211" s="47">
        <f t="shared" si="93"/>
        <v>164.86560000000003</v>
      </c>
      <c r="H211" s="47"/>
      <c r="I211" s="47">
        <f t="shared" si="88"/>
        <v>11540.592000000002</v>
      </c>
      <c r="J211" s="47">
        <f t="shared" si="89"/>
        <v>2374.0646400000005</v>
      </c>
      <c r="K211" s="49"/>
      <c r="L211" s="31"/>
      <c r="M211" s="454">
        <v>2289.8000000000002</v>
      </c>
      <c r="N211" s="33">
        <f t="shared" si="94"/>
        <v>2472.9840000000004</v>
      </c>
      <c r="O211" s="34">
        <v>70</v>
      </c>
      <c r="P211" s="34">
        <v>14.4</v>
      </c>
      <c r="Q211" s="35">
        <v>43405</v>
      </c>
      <c r="R211" s="441">
        <v>0</v>
      </c>
      <c r="S211" s="60">
        <f t="shared" si="90"/>
        <v>2472.9840000000004</v>
      </c>
      <c r="T211" s="61">
        <f t="shared" si="95"/>
        <v>2289.8000000000002</v>
      </c>
      <c r="U211" s="236">
        <f t="shared" si="96"/>
        <v>824.3280000000002</v>
      </c>
      <c r="V211" s="39">
        <v>0.08</v>
      </c>
      <c r="W211" s="40">
        <v>44377</v>
      </c>
      <c r="X211" s="41">
        <f t="shared" si="91"/>
        <v>31</v>
      </c>
      <c r="Y211" s="42">
        <f t="shared" si="92"/>
        <v>2.5833333333333335</v>
      </c>
    </row>
    <row r="212" spans="1:25" x14ac:dyDescent="0.2">
      <c r="A212" s="52"/>
      <c r="B212" s="104" t="s">
        <v>247</v>
      </c>
      <c r="C212" s="211" t="s">
        <v>61</v>
      </c>
      <c r="D212" s="45" t="s">
        <v>30</v>
      </c>
      <c r="E212" s="106">
        <v>43405</v>
      </c>
      <c r="F212" s="47">
        <v>2472.9840000000004</v>
      </c>
      <c r="G212" s="47">
        <f t="shared" si="93"/>
        <v>164.86560000000003</v>
      </c>
      <c r="H212" s="47"/>
      <c r="I212" s="47">
        <f t="shared" si="88"/>
        <v>11540.592000000002</v>
      </c>
      <c r="J212" s="47">
        <f t="shared" si="89"/>
        <v>2374.0646400000005</v>
      </c>
      <c r="K212" s="49"/>
      <c r="L212" s="31"/>
      <c r="M212" s="454">
        <v>2289.8000000000002</v>
      </c>
      <c r="N212" s="33">
        <f t="shared" si="94"/>
        <v>2472.9840000000004</v>
      </c>
      <c r="O212" s="34">
        <v>70</v>
      </c>
      <c r="P212" s="34">
        <v>14.4</v>
      </c>
      <c r="Q212" s="35">
        <v>43405</v>
      </c>
      <c r="R212" s="441">
        <v>0</v>
      </c>
      <c r="S212" s="60">
        <f t="shared" si="90"/>
        <v>2472.9840000000004</v>
      </c>
      <c r="T212" s="61">
        <f t="shared" si="95"/>
        <v>2289.8000000000002</v>
      </c>
      <c r="U212" s="236">
        <f t="shared" si="96"/>
        <v>824.3280000000002</v>
      </c>
      <c r="V212" s="39">
        <v>0.08</v>
      </c>
      <c r="W212" s="40">
        <v>44377</v>
      </c>
      <c r="X212" s="41">
        <f t="shared" si="91"/>
        <v>31</v>
      </c>
      <c r="Y212" s="42">
        <f t="shared" si="92"/>
        <v>2.5833333333333335</v>
      </c>
    </row>
    <row r="213" spans="1:25" x14ac:dyDescent="0.2">
      <c r="A213" s="52"/>
      <c r="B213" s="104" t="s">
        <v>248</v>
      </c>
      <c r="C213" s="211" t="s">
        <v>61</v>
      </c>
      <c r="D213" s="45" t="s">
        <v>30</v>
      </c>
      <c r="E213" s="106">
        <v>43374</v>
      </c>
      <c r="F213" s="47">
        <v>3091.23</v>
      </c>
      <c r="G213" s="47">
        <f t="shared" si="93"/>
        <v>206.08199999999999</v>
      </c>
      <c r="H213" s="47"/>
      <c r="I213" s="47">
        <f t="shared" si="88"/>
        <v>14425.74</v>
      </c>
      <c r="J213" s="47">
        <f t="shared" si="89"/>
        <v>2967.5808000000002</v>
      </c>
      <c r="K213" s="49"/>
      <c r="L213" s="31"/>
      <c r="M213" s="454">
        <v>2862.25</v>
      </c>
      <c r="N213" s="33">
        <f t="shared" si="94"/>
        <v>3091.23</v>
      </c>
      <c r="O213" s="34">
        <v>70</v>
      </c>
      <c r="P213" s="34">
        <v>14.4</v>
      </c>
      <c r="Q213" s="35">
        <v>43374</v>
      </c>
      <c r="R213" s="441">
        <v>0</v>
      </c>
      <c r="S213" s="60">
        <f t="shared" si="90"/>
        <v>3091.23</v>
      </c>
      <c r="T213" s="61">
        <f t="shared" si="95"/>
        <v>2862.25</v>
      </c>
      <c r="U213" s="236">
        <f t="shared" si="96"/>
        <v>1030.4099999999999</v>
      </c>
      <c r="V213" s="39">
        <v>0.08</v>
      </c>
      <c r="W213" s="40">
        <v>44377</v>
      </c>
      <c r="X213" s="41">
        <f t="shared" si="91"/>
        <v>32</v>
      </c>
      <c r="Y213" s="42">
        <f t="shared" si="92"/>
        <v>2.6666666666666665</v>
      </c>
    </row>
    <row r="214" spans="1:25" x14ac:dyDescent="0.2">
      <c r="A214" s="52"/>
      <c r="B214" s="104" t="s">
        <v>249</v>
      </c>
      <c r="C214" s="211" t="s">
        <v>29</v>
      </c>
      <c r="D214" s="45" t="s">
        <v>30</v>
      </c>
      <c r="E214" s="106">
        <v>43359</v>
      </c>
      <c r="F214" s="47">
        <v>6182.46</v>
      </c>
      <c r="G214" s="47">
        <f t="shared" si="93"/>
        <v>412.16399999999999</v>
      </c>
      <c r="H214" s="47">
        <v>2500</v>
      </c>
      <c r="I214" s="47">
        <f t="shared" si="88"/>
        <v>28851.48</v>
      </c>
      <c r="J214" s="47">
        <f t="shared" si="89"/>
        <v>5935.1616000000004</v>
      </c>
      <c r="K214" s="49"/>
      <c r="L214" s="31"/>
      <c r="M214" s="454">
        <v>5724.5</v>
      </c>
      <c r="N214" s="33">
        <f t="shared" si="94"/>
        <v>6182.46</v>
      </c>
      <c r="O214" s="34">
        <v>70</v>
      </c>
      <c r="P214" s="34">
        <v>14.4</v>
      </c>
      <c r="Q214" s="35">
        <v>43359</v>
      </c>
      <c r="R214" s="441">
        <v>0</v>
      </c>
      <c r="S214" s="60">
        <f t="shared" si="90"/>
        <v>6182.46</v>
      </c>
      <c r="T214" s="61">
        <f t="shared" si="95"/>
        <v>5724.5</v>
      </c>
      <c r="U214" s="236">
        <f t="shared" si="96"/>
        <v>2060.8199999999997</v>
      </c>
      <c r="V214" s="39">
        <v>0.08</v>
      </c>
      <c r="W214" s="40">
        <v>44377</v>
      </c>
      <c r="X214" s="41">
        <f t="shared" si="91"/>
        <v>33</v>
      </c>
      <c r="Y214" s="42">
        <f t="shared" si="92"/>
        <v>2.75</v>
      </c>
    </row>
    <row r="215" spans="1:25" x14ac:dyDescent="0.2">
      <c r="A215" s="52"/>
      <c r="B215" s="104" t="s">
        <v>250</v>
      </c>
      <c r="C215" s="211" t="s">
        <v>61</v>
      </c>
      <c r="D215" s="45" t="s">
        <v>30</v>
      </c>
      <c r="E215" s="106">
        <v>43374</v>
      </c>
      <c r="F215" s="47">
        <v>3091.23</v>
      </c>
      <c r="G215" s="47">
        <f t="shared" si="93"/>
        <v>206.08199999999999</v>
      </c>
      <c r="H215" s="47"/>
      <c r="I215" s="47">
        <f t="shared" si="88"/>
        <v>14425.74</v>
      </c>
      <c r="J215" s="47">
        <f t="shared" si="89"/>
        <v>2967.5808000000002</v>
      </c>
      <c r="K215" s="49"/>
      <c r="L215" s="31"/>
      <c r="M215" s="454">
        <v>2862.25</v>
      </c>
      <c r="N215" s="33">
        <f t="shared" si="94"/>
        <v>3091.23</v>
      </c>
      <c r="O215" s="34">
        <v>70</v>
      </c>
      <c r="P215" s="34">
        <v>14.4</v>
      </c>
      <c r="Q215" s="35">
        <v>43374</v>
      </c>
      <c r="R215" s="441">
        <v>0</v>
      </c>
      <c r="S215" s="60">
        <f t="shared" si="90"/>
        <v>3091.23</v>
      </c>
      <c r="T215" s="61">
        <f t="shared" si="95"/>
        <v>2862.25</v>
      </c>
      <c r="U215" s="236">
        <f t="shared" si="96"/>
        <v>1030.4099999999999</v>
      </c>
      <c r="V215" s="39">
        <v>0.08</v>
      </c>
      <c r="W215" s="40">
        <v>44377</v>
      </c>
      <c r="X215" s="41">
        <f t="shared" si="91"/>
        <v>32</v>
      </c>
      <c r="Y215" s="42">
        <f t="shared" si="92"/>
        <v>2.6666666666666665</v>
      </c>
    </row>
    <row r="216" spans="1:25" x14ac:dyDescent="0.2">
      <c r="A216" s="52"/>
      <c r="B216" s="104" t="s">
        <v>251</v>
      </c>
      <c r="C216" s="211" t="s">
        <v>61</v>
      </c>
      <c r="D216" s="45" t="s">
        <v>30</v>
      </c>
      <c r="E216" s="106">
        <v>43374</v>
      </c>
      <c r="F216" s="47">
        <v>2472.9840000000004</v>
      </c>
      <c r="G216" s="47">
        <f t="shared" si="93"/>
        <v>164.86560000000003</v>
      </c>
      <c r="H216" s="47"/>
      <c r="I216" s="47">
        <f t="shared" si="88"/>
        <v>11540.592000000002</v>
      </c>
      <c r="J216" s="47">
        <f t="shared" si="89"/>
        <v>2374.0646400000005</v>
      </c>
      <c r="K216" s="49"/>
      <c r="L216" s="31"/>
      <c r="M216" s="454">
        <v>2289.8000000000002</v>
      </c>
      <c r="N216" s="33">
        <f t="shared" si="94"/>
        <v>2472.9840000000004</v>
      </c>
      <c r="O216" s="34">
        <v>70</v>
      </c>
      <c r="P216" s="34">
        <v>14.4</v>
      </c>
      <c r="Q216" s="35">
        <v>43374</v>
      </c>
      <c r="R216" s="441">
        <v>0</v>
      </c>
      <c r="S216" s="60">
        <f t="shared" si="90"/>
        <v>2472.9840000000004</v>
      </c>
      <c r="T216" s="61">
        <f t="shared" si="95"/>
        <v>2289.8000000000002</v>
      </c>
      <c r="U216" s="236">
        <f t="shared" si="96"/>
        <v>824.3280000000002</v>
      </c>
      <c r="V216" s="39">
        <v>0.08</v>
      </c>
      <c r="W216" s="40">
        <v>44377</v>
      </c>
      <c r="X216" s="41">
        <f t="shared" si="91"/>
        <v>32</v>
      </c>
      <c r="Y216" s="42">
        <f t="shared" si="92"/>
        <v>2.6666666666666665</v>
      </c>
    </row>
    <row r="217" spans="1:25" x14ac:dyDescent="0.2">
      <c r="A217" s="52"/>
      <c r="B217" s="104" t="s">
        <v>252</v>
      </c>
      <c r="C217" s="211" t="s">
        <v>253</v>
      </c>
      <c r="D217" s="45" t="s">
        <v>30</v>
      </c>
      <c r="E217" s="106">
        <v>43389</v>
      </c>
      <c r="F217" s="47">
        <v>8256.0570840000019</v>
      </c>
      <c r="G217" s="47">
        <f t="shared" si="93"/>
        <v>550.40380560000017</v>
      </c>
      <c r="H217" s="47"/>
      <c r="I217" s="47">
        <f t="shared" si="88"/>
        <v>38528.266392000012</v>
      </c>
      <c r="J217" s="47">
        <f t="shared" si="89"/>
        <v>7925.8148006400024</v>
      </c>
      <c r="K217" s="49"/>
      <c r="L217" s="31"/>
      <c r="M217" s="454">
        <v>7644.4973000000009</v>
      </c>
      <c r="N217" s="33">
        <f t="shared" si="94"/>
        <v>8256.0570840000019</v>
      </c>
      <c r="O217" s="34">
        <v>70</v>
      </c>
      <c r="P217" s="34">
        <v>14.4</v>
      </c>
      <c r="Q217" s="35">
        <v>43389</v>
      </c>
      <c r="R217" s="441">
        <v>0</v>
      </c>
      <c r="S217" s="60">
        <f t="shared" si="90"/>
        <v>8256.0570840000019</v>
      </c>
      <c r="T217" s="61">
        <f t="shared" si="95"/>
        <v>7644.4973000000009</v>
      </c>
      <c r="U217" s="236">
        <f t="shared" si="96"/>
        <v>2752.0190280000006</v>
      </c>
      <c r="V217" s="39">
        <v>0.08</v>
      </c>
      <c r="W217" s="40">
        <v>44377</v>
      </c>
      <c r="X217" s="41">
        <f t="shared" si="91"/>
        <v>32</v>
      </c>
      <c r="Y217" s="42">
        <f t="shared" si="92"/>
        <v>2.6666666666666665</v>
      </c>
    </row>
    <row r="218" spans="1:25" x14ac:dyDescent="0.2">
      <c r="A218" s="52"/>
      <c r="B218" s="104" t="s">
        <v>254</v>
      </c>
      <c r="C218" s="211" t="s">
        <v>29</v>
      </c>
      <c r="D218" s="45" t="s">
        <v>30</v>
      </c>
      <c r="E218" s="106">
        <v>43359</v>
      </c>
      <c r="F218" s="47">
        <v>2472.9840000000004</v>
      </c>
      <c r="G218" s="47">
        <f t="shared" si="93"/>
        <v>164.86560000000003</v>
      </c>
      <c r="H218" s="47"/>
      <c r="I218" s="47">
        <f t="shared" si="88"/>
        <v>11540.592000000002</v>
      </c>
      <c r="J218" s="47">
        <f t="shared" si="89"/>
        <v>2374.0646400000005</v>
      </c>
      <c r="K218" s="49"/>
      <c r="L218" s="31"/>
      <c r="M218" s="454">
        <v>2289.8000000000002</v>
      </c>
      <c r="N218" s="33">
        <f t="shared" si="94"/>
        <v>2472.9840000000004</v>
      </c>
      <c r="O218" s="34">
        <v>70</v>
      </c>
      <c r="P218" s="34">
        <v>14.4</v>
      </c>
      <c r="Q218" s="35">
        <v>43359</v>
      </c>
      <c r="R218" s="441">
        <v>0</v>
      </c>
      <c r="S218" s="60">
        <f t="shared" si="90"/>
        <v>2472.9840000000004</v>
      </c>
      <c r="T218" s="61">
        <f t="shared" si="95"/>
        <v>2289.8000000000002</v>
      </c>
      <c r="U218" s="236">
        <f t="shared" si="96"/>
        <v>824.3280000000002</v>
      </c>
      <c r="V218" s="39">
        <v>0.08</v>
      </c>
      <c r="W218" s="40">
        <v>44377</v>
      </c>
      <c r="X218" s="41">
        <f t="shared" si="91"/>
        <v>33</v>
      </c>
      <c r="Y218" s="42">
        <f t="shared" si="92"/>
        <v>2.75</v>
      </c>
    </row>
    <row r="219" spans="1:25" x14ac:dyDescent="0.2">
      <c r="A219" s="52"/>
      <c r="B219" s="104" t="s">
        <v>255</v>
      </c>
      <c r="C219" s="211" t="s">
        <v>256</v>
      </c>
      <c r="D219" s="45" t="s">
        <v>30</v>
      </c>
      <c r="E219" s="106">
        <v>43344</v>
      </c>
      <c r="F219" s="47">
        <v>6533.6237280000005</v>
      </c>
      <c r="G219" s="47">
        <f t="shared" si="93"/>
        <v>435.57491520000002</v>
      </c>
      <c r="H219" s="47">
        <v>2466</v>
      </c>
      <c r="I219" s="47">
        <f t="shared" si="88"/>
        <v>30490.244064000002</v>
      </c>
      <c r="J219" s="47">
        <f t="shared" si="89"/>
        <v>6272.2787788800006</v>
      </c>
      <c r="K219" s="49"/>
      <c r="L219" s="31"/>
      <c r="M219" s="454">
        <v>6049.6516000000001</v>
      </c>
      <c r="N219" s="33">
        <f t="shared" si="94"/>
        <v>6533.6237280000005</v>
      </c>
      <c r="O219" s="34">
        <v>70</v>
      </c>
      <c r="P219" s="34">
        <v>14.4</v>
      </c>
      <c r="Q219" s="35">
        <v>43344</v>
      </c>
      <c r="R219" s="441">
        <v>0</v>
      </c>
      <c r="S219" s="60">
        <f t="shared" si="90"/>
        <v>6533.6237280000005</v>
      </c>
      <c r="T219" s="61">
        <f t="shared" si="95"/>
        <v>6049.6516000000001</v>
      </c>
      <c r="U219" s="236">
        <f t="shared" si="96"/>
        <v>2177.8745760000002</v>
      </c>
      <c r="V219" s="39">
        <v>0.08</v>
      </c>
      <c r="W219" s="40">
        <v>44377</v>
      </c>
      <c r="X219" s="41">
        <f t="shared" si="91"/>
        <v>33</v>
      </c>
      <c r="Y219" s="42">
        <f t="shared" si="92"/>
        <v>2.75</v>
      </c>
    </row>
    <row r="220" spans="1:25" x14ac:dyDescent="0.2">
      <c r="A220" s="52"/>
      <c r="B220" s="104" t="s">
        <v>257</v>
      </c>
      <c r="C220" s="211" t="s">
        <v>61</v>
      </c>
      <c r="D220" s="45" t="s">
        <v>30</v>
      </c>
      <c r="E220" s="106">
        <v>43374</v>
      </c>
      <c r="F220" s="47">
        <v>2472.9840000000004</v>
      </c>
      <c r="G220" s="47">
        <f t="shared" si="93"/>
        <v>164.86560000000003</v>
      </c>
      <c r="H220" s="47"/>
      <c r="I220" s="47">
        <f t="shared" si="88"/>
        <v>11540.592000000002</v>
      </c>
      <c r="J220" s="47">
        <f t="shared" si="89"/>
        <v>2374.0646400000005</v>
      </c>
      <c r="K220" s="49"/>
      <c r="L220" s="31"/>
      <c r="M220" s="454">
        <v>2289.8000000000002</v>
      </c>
      <c r="N220" s="33">
        <f t="shared" si="94"/>
        <v>2472.9840000000004</v>
      </c>
      <c r="O220" s="34">
        <v>70</v>
      </c>
      <c r="P220" s="34">
        <v>14.4</v>
      </c>
      <c r="Q220" s="35">
        <v>43374</v>
      </c>
      <c r="R220" s="441">
        <v>0</v>
      </c>
      <c r="S220" s="60">
        <f t="shared" si="90"/>
        <v>2472.9840000000004</v>
      </c>
      <c r="T220" s="61">
        <f t="shared" si="95"/>
        <v>2289.8000000000002</v>
      </c>
      <c r="U220" s="236">
        <f t="shared" si="96"/>
        <v>824.3280000000002</v>
      </c>
      <c r="V220" s="39">
        <v>0.08</v>
      </c>
      <c r="W220" s="40">
        <v>44377</v>
      </c>
      <c r="X220" s="41">
        <f t="shared" si="91"/>
        <v>32</v>
      </c>
      <c r="Y220" s="42">
        <f t="shared" si="92"/>
        <v>2.6666666666666665</v>
      </c>
    </row>
    <row r="221" spans="1:25" x14ac:dyDescent="0.2">
      <c r="A221" s="52"/>
      <c r="B221" s="104" t="s">
        <v>258</v>
      </c>
      <c r="C221" s="211" t="s">
        <v>61</v>
      </c>
      <c r="D221" s="45" t="s">
        <v>30</v>
      </c>
      <c r="E221" s="106">
        <v>43374</v>
      </c>
      <c r="F221" s="47">
        <v>3091.23</v>
      </c>
      <c r="G221" s="47">
        <f t="shared" si="93"/>
        <v>206.08199999999999</v>
      </c>
      <c r="H221" s="47"/>
      <c r="I221" s="47">
        <f t="shared" si="88"/>
        <v>14425.74</v>
      </c>
      <c r="J221" s="47">
        <f t="shared" si="89"/>
        <v>2967.5808000000002</v>
      </c>
      <c r="K221" s="49"/>
      <c r="L221" s="31"/>
      <c r="M221" s="454">
        <v>2862.25</v>
      </c>
      <c r="N221" s="33">
        <f t="shared" si="94"/>
        <v>3091.23</v>
      </c>
      <c r="O221" s="34">
        <v>70</v>
      </c>
      <c r="P221" s="34">
        <v>14.4</v>
      </c>
      <c r="Q221" s="35">
        <v>43374</v>
      </c>
      <c r="R221" s="441">
        <v>0</v>
      </c>
      <c r="S221" s="60">
        <f t="shared" si="90"/>
        <v>3091.23</v>
      </c>
      <c r="T221" s="61">
        <f t="shared" si="95"/>
        <v>2862.25</v>
      </c>
      <c r="U221" s="236">
        <f t="shared" si="96"/>
        <v>1030.4099999999999</v>
      </c>
      <c r="V221" s="39">
        <v>0.08</v>
      </c>
      <c r="W221" s="40">
        <v>44377</v>
      </c>
      <c r="X221" s="41">
        <f t="shared" si="91"/>
        <v>32</v>
      </c>
      <c r="Y221" s="42">
        <f t="shared" si="92"/>
        <v>2.6666666666666665</v>
      </c>
    </row>
    <row r="222" spans="1:25" x14ac:dyDescent="0.2">
      <c r="A222" s="52"/>
      <c r="B222" s="104" t="s">
        <v>259</v>
      </c>
      <c r="C222" s="211" t="s">
        <v>61</v>
      </c>
      <c r="D222" s="45" t="s">
        <v>30</v>
      </c>
      <c r="E222" s="106">
        <v>43344</v>
      </c>
      <c r="F222" s="47">
        <v>9582.8130000000019</v>
      </c>
      <c r="G222" s="47">
        <f t="shared" si="93"/>
        <v>638.85420000000011</v>
      </c>
      <c r="H222" s="47"/>
      <c r="I222" s="47">
        <f t="shared" si="88"/>
        <v>44719.794000000009</v>
      </c>
      <c r="J222" s="47">
        <f t="shared" si="89"/>
        <v>9199.5004800000024</v>
      </c>
      <c r="K222" s="49"/>
      <c r="L222" s="31"/>
      <c r="M222" s="454">
        <v>8872.9750000000004</v>
      </c>
      <c r="N222" s="33">
        <f t="shared" si="94"/>
        <v>9582.8130000000019</v>
      </c>
      <c r="O222" s="34">
        <v>70</v>
      </c>
      <c r="P222" s="34">
        <v>14.4</v>
      </c>
      <c r="Q222" s="35">
        <v>43344</v>
      </c>
      <c r="R222" s="441">
        <v>0</v>
      </c>
      <c r="S222" s="60">
        <f t="shared" si="90"/>
        <v>9582.8130000000019</v>
      </c>
      <c r="T222" s="61">
        <f t="shared" si="95"/>
        <v>8872.9750000000004</v>
      </c>
      <c r="U222" s="236">
        <f t="shared" si="96"/>
        <v>3194.2710000000006</v>
      </c>
      <c r="V222" s="39">
        <v>0.08</v>
      </c>
      <c r="W222" s="40">
        <v>44377</v>
      </c>
      <c r="X222" s="41">
        <f t="shared" si="91"/>
        <v>33</v>
      </c>
      <c r="Y222" s="42">
        <f t="shared" si="92"/>
        <v>2.75</v>
      </c>
    </row>
    <row r="223" spans="1:25" x14ac:dyDescent="0.2">
      <c r="A223" s="52"/>
      <c r="B223" s="104" t="s">
        <v>260</v>
      </c>
      <c r="C223" s="211" t="s">
        <v>61</v>
      </c>
      <c r="D223" s="45" t="s">
        <v>30</v>
      </c>
      <c r="E223" s="106">
        <v>43359</v>
      </c>
      <c r="F223" s="47">
        <v>6879.8414880000018</v>
      </c>
      <c r="G223" s="47">
        <f t="shared" si="93"/>
        <v>458.65609920000014</v>
      </c>
      <c r="H223" s="47"/>
      <c r="I223" s="47">
        <f t="shared" si="88"/>
        <v>32105.92694400001</v>
      </c>
      <c r="J223" s="47">
        <f t="shared" si="89"/>
        <v>6604.6478284800023</v>
      </c>
      <c r="K223" s="49"/>
      <c r="L223" s="31"/>
      <c r="M223" s="454">
        <v>6370.2236000000012</v>
      </c>
      <c r="N223" s="33">
        <f t="shared" si="94"/>
        <v>6879.8414880000018</v>
      </c>
      <c r="O223" s="34">
        <v>70</v>
      </c>
      <c r="P223" s="34">
        <v>14.4</v>
      </c>
      <c r="Q223" s="35">
        <v>43359</v>
      </c>
      <c r="R223" s="441">
        <v>0</v>
      </c>
      <c r="S223" s="60">
        <f t="shared" si="90"/>
        <v>6879.8414880000018</v>
      </c>
      <c r="T223" s="61">
        <f t="shared" si="95"/>
        <v>6370.2236000000012</v>
      </c>
      <c r="U223" s="236">
        <f t="shared" si="96"/>
        <v>2293.2804960000008</v>
      </c>
      <c r="V223" s="39">
        <v>0.08</v>
      </c>
      <c r="W223" s="40">
        <v>44377</v>
      </c>
      <c r="X223" s="41">
        <f t="shared" si="91"/>
        <v>33</v>
      </c>
      <c r="Y223" s="42">
        <f t="shared" si="92"/>
        <v>2.75</v>
      </c>
    </row>
    <row r="224" spans="1:25" x14ac:dyDescent="0.2">
      <c r="A224" s="52"/>
      <c r="B224" s="104" t="s">
        <v>261</v>
      </c>
      <c r="C224" s="211" t="s">
        <v>61</v>
      </c>
      <c r="D224" s="45" t="s">
        <v>30</v>
      </c>
      <c r="E224" s="106">
        <v>43344</v>
      </c>
      <c r="F224" s="47">
        <v>6879.8414880000018</v>
      </c>
      <c r="G224" s="47">
        <f t="shared" si="93"/>
        <v>458.65609920000014</v>
      </c>
      <c r="H224" s="47"/>
      <c r="I224" s="47">
        <f t="shared" si="88"/>
        <v>32105.92694400001</v>
      </c>
      <c r="J224" s="47">
        <f t="shared" si="89"/>
        <v>6604.6478284800023</v>
      </c>
      <c r="K224" s="49"/>
      <c r="L224" s="31"/>
      <c r="M224" s="454">
        <v>6370.2236000000012</v>
      </c>
      <c r="N224" s="33">
        <f t="shared" si="94"/>
        <v>6879.8414880000018</v>
      </c>
      <c r="O224" s="34">
        <v>70</v>
      </c>
      <c r="P224" s="34">
        <v>14.4</v>
      </c>
      <c r="Q224" s="35">
        <v>43344</v>
      </c>
      <c r="R224" s="441">
        <v>0</v>
      </c>
      <c r="S224" s="60">
        <f t="shared" si="90"/>
        <v>6879.8414880000018</v>
      </c>
      <c r="T224" s="61">
        <f t="shared" si="95"/>
        <v>6370.2236000000012</v>
      </c>
      <c r="U224" s="236">
        <f t="shared" si="96"/>
        <v>2293.2804960000008</v>
      </c>
      <c r="V224" s="39">
        <v>0.08</v>
      </c>
      <c r="W224" s="40">
        <v>44377</v>
      </c>
      <c r="X224" s="41">
        <f t="shared" si="91"/>
        <v>33</v>
      </c>
      <c r="Y224" s="42">
        <f t="shared" si="92"/>
        <v>2.75</v>
      </c>
    </row>
    <row r="225" spans="1:25" x14ac:dyDescent="0.2">
      <c r="A225" s="52"/>
      <c r="B225" s="104" t="s">
        <v>262</v>
      </c>
      <c r="C225" s="211" t="s">
        <v>61</v>
      </c>
      <c r="D225" s="45" t="s">
        <v>30</v>
      </c>
      <c r="E225" s="106">
        <v>43374</v>
      </c>
      <c r="F225" s="47">
        <v>2472.9840000000004</v>
      </c>
      <c r="G225" s="47">
        <f t="shared" si="93"/>
        <v>164.86560000000003</v>
      </c>
      <c r="H225" s="47"/>
      <c r="I225" s="47">
        <f t="shared" si="88"/>
        <v>11540.592000000002</v>
      </c>
      <c r="J225" s="47">
        <f t="shared" si="89"/>
        <v>2374.0646400000005</v>
      </c>
      <c r="K225" s="49"/>
      <c r="L225" s="31"/>
      <c r="M225" s="454">
        <v>2289.8000000000002</v>
      </c>
      <c r="N225" s="33">
        <f t="shared" si="94"/>
        <v>2472.9840000000004</v>
      </c>
      <c r="O225" s="34">
        <v>70</v>
      </c>
      <c r="P225" s="34">
        <v>14.4</v>
      </c>
      <c r="Q225" s="35">
        <v>43374</v>
      </c>
      <c r="R225" s="441">
        <v>0</v>
      </c>
      <c r="S225" s="60">
        <f t="shared" si="90"/>
        <v>2472.9840000000004</v>
      </c>
      <c r="T225" s="61">
        <f t="shared" si="95"/>
        <v>2289.8000000000002</v>
      </c>
      <c r="U225" s="236">
        <f t="shared" si="96"/>
        <v>824.3280000000002</v>
      </c>
      <c r="V225" s="39">
        <v>0.08</v>
      </c>
      <c r="W225" s="40">
        <v>44377</v>
      </c>
      <c r="X225" s="41">
        <f t="shared" si="91"/>
        <v>32</v>
      </c>
      <c r="Y225" s="42">
        <f t="shared" si="92"/>
        <v>2.6666666666666665</v>
      </c>
    </row>
    <row r="226" spans="1:25" x14ac:dyDescent="0.2">
      <c r="A226" s="52"/>
      <c r="B226" s="104" t="s">
        <v>263</v>
      </c>
      <c r="C226" s="211" t="s">
        <v>61</v>
      </c>
      <c r="D226" s="45" t="s">
        <v>30</v>
      </c>
      <c r="E226" s="106">
        <v>43405</v>
      </c>
      <c r="F226" s="47">
        <v>3091.23</v>
      </c>
      <c r="G226" s="47">
        <f t="shared" si="93"/>
        <v>206.08199999999999</v>
      </c>
      <c r="H226" s="47"/>
      <c r="I226" s="47">
        <f t="shared" si="88"/>
        <v>14425.74</v>
      </c>
      <c r="J226" s="47">
        <f t="shared" si="89"/>
        <v>2967.5808000000002</v>
      </c>
      <c r="K226" s="49"/>
      <c r="L226" s="31"/>
      <c r="M226" s="454">
        <v>2862.25</v>
      </c>
      <c r="N226" s="33">
        <f t="shared" si="94"/>
        <v>3091.23</v>
      </c>
      <c r="O226" s="34">
        <v>70</v>
      </c>
      <c r="P226" s="34">
        <v>14.4</v>
      </c>
      <c r="Q226" s="35">
        <v>43405</v>
      </c>
      <c r="R226" s="441">
        <v>0</v>
      </c>
      <c r="S226" s="60">
        <f t="shared" si="90"/>
        <v>3091.23</v>
      </c>
      <c r="T226" s="61">
        <f t="shared" si="95"/>
        <v>2862.25</v>
      </c>
      <c r="U226" s="236">
        <f t="shared" si="96"/>
        <v>1030.4099999999999</v>
      </c>
      <c r="V226" s="39">
        <v>0.08</v>
      </c>
      <c r="W226" s="40">
        <v>44377</v>
      </c>
      <c r="X226" s="41">
        <f t="shared" si="91"/>
        <v>31</v>
      </c>
      <c r="Y226" s="42">
        <f t="shared" si="92"/>
        <v>2.5833333333333335</v>
      </c>
    </row>
    <row r="227" spans="1:25" ht="12.75" customHeight="1" x14ac:dyDescent="0.2">
      <c r="A227" s="52"/>
      <c r="B227" s="104" t="s">
        <v>264</v>
      </c>
      <c r="C227" s="105" t="s">
        <v>61</v>
      </c>
      <c r="D227" s="45" t="s">
        <v>30</v>
      </c>
      <c r="E227" s="106">
        <v>43359</v>
      </c>
      <c r="F227" s="47">
        <v>4945.9680000000008</v>
      </c>
      <c r="G227" s="47">
        <f t="shared" si="93"/>
        <v>329.73120000000006</v>
      </c>
      <c r="H227" s="47"/>
      <c r="I227" s="47">
        <f t="shared" si="88"/>
        <v>23081.184000000005</v>
      </c>
      <c r="J227" s="47">
        <f t="shared" si="89"/>
        <v>4748.129280000001</v>
      </c>
      <c r="K227" s="49"/>
      <c r="L227" s="235"/>
      <c r="M227" s="454">
        <v>4579.6000000000004</v>
      </c>
      <c r="N227" s="33">
        <f t="shared" si="94"/>
        <v>4945.9680000000008</v>
      </c>
      <c r="O227" s="34">
        <v>70</v>
      </c>
      <c r="P227" s="34">
        <v>14.4</v>
      </c>
      <c r="Q227" s="35">
        <v>43359</v>
      </c>
      <c r="R227" s="441">
        <v>0</v>
      </c>
      <c r="S227" s="60">
        <f t="shared" si="90"/>
        <v>4945.9680000000008</v>
      </c>
      <c r="T227" s="61">
        <f t="shared" si="95"/>
        <v>4579.6000000000004</v>
      </c>
      <c r="U227" s="236">
        <f t="shared" si="96"/>
        <v>1648.6560000000004</v>
      </c>
      <c r="V227" s="39">
        <v>0.08</v>
      </c>
      <c r="W227" s="40">
        <v>44377</v>
      </c>
      <c r="X227" s="41">
        <f t="shared" si="91"/>
        <v>33</v>
      </c>
      <c r="Y227" s="42">
        <f t="shared" si="92"/>
        <v>2.75</v>
      </c>
    </row>
    <row r="228" spans="1:25" x14ac:dyDescent="0.2">
      <c r="A228" s="52"/>
      <c r="B228" s="104" t="s">
        <v>265</v>
      </c>
      <c r="C228" s="211" t="s">
        <v>266</v>
      </c>
      <c r="D228" s="45" t="s">
        <v>34</v>
      </c>
      <c r="E228" s="106">
        <v>43344</v>
      </c>
      <c r="F228" s="47">
        <v>20639.524464000006</v>
      </c>
      <c r="G228" s="47">
        <f t="shared" si="93"/>
        <v>1375.9682976000004</v>
      </c>
      <c r="H228" s="47">
        <v>0</v>
      </c>
      <c r="I228" s="237"/>
      <c r="J228" s="47">
        <f t="shared" si="89"/>
        <v>19813.943485440006</v>
      </c>
      <c r="K228" s="49"/>
      <c r="L228" s="31"/>
      <c r="M228" s="454">
        <v>19110.670800000004</v>
      </c>
      <c r="N228" s="33">
        <f t="shared" si="94"/>
        <v>20639.524464000006</v>
      </c>
      <c r="O228" s="34">
        <v>70</v>
      </c>
      <c r="P228" s="34">
        <v>14.4</v>
      </c>
      <c r="Q228" s="35">
        <v>43344</v>
      </c>
      <c r="R228" s="441">
        <v>0</v>
      </c>
      <c r="S228" s="60">
        <f t="shared" si="90"/>
        <v>20639.524464000006</v>
      </c>
      <c r="T228" s="61">
        <f t="shared" si="95"/>
        <v>19110.670800000004</v>
      </c>
      <c r="U228" s="236">
        <f t="shared" si="96"/>
        <v>6879.8414880000018</v>
      </c>
      <c r="V228" s="39">
        <v>0.08</v>
      </c>
      <c r="W228" s="40">
        <v>44377</v>
      </c>
      <c r="X228" s="41">
        <f t="shared" si="91"/>
        <v>33</v>
      </c>
      <c r="Y228" s="42">
        <f t="shared" si="92"/>
        <v>2.75</v>
      </c>
    </row>
    <row r="229" spans="1:25" x14ac:dyDescent="0.2">
      <c r="B229" s="104" t="s">
        <v>267</v>
      </c>
      <c r="C229" s="105" t="s">
        <v>268</v>
      </c>
      <c r="D229" s="45" t="s">
        <v>34</v>
      </c>
      <c r="E229" s="106">
        <v>43344</v>
      </c>
      <c r="F229" s="47">
        <v>12364.92</v>
      </c>
      <c r="G229" s="47">
        <f t="shared" si="93"/>
        <v>824.32799999999997</v>
      </c>
      <c r="H229" s="47">
        <v>5000</v>
      </c>
      <c r="I229" s="47">
        <f>F229/15*O229</f>
        <v>57702.96</v>
      </c>
      <c r="J229" s="47">
        <f t="shared" si="89"/>
        <v>11870.323200000001</v>
      </c>
      <c r="K229" s="49"/>
      <c r="L229" s="31"/>
      <c r="M229" s="454">
        <v>11449</v>
      </c>
      <c r="N229" s="33">
        <f t="shared" si="94"/>
        <v>12364.92</v>
      </c>
      <c r="O229" s="34">
        <v>70</v>
      </c>
      <c r="P229" s="34">
        <v>14.4</v>
      </c>
      <c r="Q229" s="35">
        <v>43344</v>
      </c>
      <c r="R229" s="441">
        <v>0</v>
      </c>
      <c r="S229" s="60">
        <f t="shared" si="90"/>
        <v>12364.92</v>
      </c>
      <c r="T229" s="61">
        <f t="shared" si="95"/>
        <v>11449</v>
      </c>
      <c r="U229" s="236">
        <f t="shared" si="96"/>
        <v>4121.6399999999994</v>
      </c>
      <c r="V229" s="39">
        <v>0.08</v>
      </c>
      <c r="W229" s="40">
        <v>44377</v>
      </c>
      <c r="X229" s="41">
        <f t="shared" si="91"/>
        <v>33</v>
      </c>
      <c r="Y229" s="42">
        <f t="shared" si="92"/>
        <v>2.75</v>
      </c>
    </row>
    <row r="230" spans="1:25" x14ac:dyDescent="0.2">
      <c r="A230" s="52"/>
      <c r="B230" s="104" t="s">
        <v>269</v>
      </c>
      <c r="C230" s="105" t="s">
        <v>61</v>
      </c>
      <c r="D230" s="45" t="s">
        <v>30</v>
      </c>
      <c r="E230" s="106">
        <v>38353</v>
      </c>
      <c r="F230" s="47">
        <v>5355.2468520000011</v>
      </c>
      <c r="G230" s="47">
        <f t="shared" si="93"/>
        <v>357.01645680000007</v>
      </c>
      <c r="H230" s="47">
        <v>669</v>
      </c>
      <c r="I230" s="47">
        <f>F230/15*O230</f>
        <v>24991.151976000005</v>
      </c>
      <c r="J230" s="47">
        <f t="shared" si="89"/>
        <v>6854.7159705600016</v>
      </c>
      <c r="K230" s="49">
        <f>F230/15*12+R230+R230</f>
        <v>5342.8374816000005</v>
      </c>
      <c r="L230" s="31"/>
      <c r="M230" s="454">
        <v>5600</v>
      </c>
      <c r="N230" s="33">
        <f t="shared" si="94"/>
        <v>6048</v>
      </c>
      <c r="O230" s="34">
        <v>70</v>
      </c>
      <c r="P230" s="34">
        <v>19.2</v>
      </c>
      <c r="Q230" s="35">
        <v>38353</v>
      </c>
      <c r="R230" s="441">
        <v>529.32000000000005</v>
      </c>
      <c r="S230" s="60">
        <f t="shared" si="90"/>
        <v>6048</v>
      </c>
      <c r="T230" s="61">
        <f t="shared" si="95"/>
        <v>5600</v>
      </c>
      <c r="U230" s="236">
        <f t="shared" si="96"/>
        <v>2016</v>
      </c>
      <c r="V230" s="39">
        <v>0.08</v>
      </c>
      <c r="W230" s="40">
        <v>44377</v>
      </c>
      <c r="X230" s="41">
        <f t="shared" si="91"/>
        <v>197</v>
      </c>
      <c r="Y230" s="42">
        <f t="shared" si="92"/>
        <v>16.416666666666668</v>
      </c>
    </row>
    <row r="231" spans="1:25" ht="13.5" thickBot="1" x14ac:dyDescent="0.25">
      <c r="B231" s="108" t="s">
        <v>270</v>
      </c>
      <c r="C231" s="183" t="s">
        <v>271</v>
      </c>
      <c r="D231" s="238" t="s">
        <v>30</v>
      </c>
      <c r="E231" s="184">
        <v>42401</v>
      </c>
      <c r="F231" s="57">
        <v>4127.4102960000009</v>
      </c>
      <c r="G231" s="57">
        <f t="shared" si="93"/>
        <v>275.16068640000009</v>
      </c>
      <c r="H231" s="57"/>
      <c r="I231" s="57">
        <f>F231/15*O231</f>
        <v>19261.248048000005</v>
      </c>
      <c r="J231" s="57">
        <f t="shared" si="89"/>
        <v>5283.0851788800019</v>
      </c>
      <c r="K231" s="58">
        <f>F231/15*12+R231+R231</f>
        <v>3972.248236800001</v>
      </c>
      <c r="L231" s="129"/>
      <c r="M231" s="463">
        <v>3821.6762000000003</v>
      </c>
      <c r="N231" s="33">
        <f t="shared" si="94"/>
        <v>4127.4102960000009</v>
      </c>
      <c r="O231" s="34">
        <v>70</v>
      </c>
      <c r="P231" s="34">
        <v>19.2</v>
      </c>
      <c r="Q231" s="51">
        <v>42401</v>
      </c>
      <c r="R231" s="441">
        <v>335.16</v>
      </c>
      <c r="S231" s="60">
        <f t="shared" si="90"/>
        <v>4127.4102960000009</v>
      </c>
      <c r="T231" s="61">
        <f t="shared" si="95"/>
        <v>3821.6762000000008</v>
      </c>
      <c r="U231" s="236">
        <f t="shared" si="96"/>
        <v>1375.8034320000004</v>
      </c>
      <c r="V231" s="39">
        <v>0.08</v>
      </c>
      <c r="W231" s="40">
        <v>44377</v>
      </c>
      <c r="X231" s="41">
        <f t="shared" si="91"/>
        <v>64</v>
      </c>
      <c r="Y231" s="42">
        <f t="shared" si="92"/>
        <v>5.333333333333333</v>
      </c>
    </row>
    <row r="232" spans="1:25" ht="13.5" thickBot="1" x14ac:dyDescent="0.25">
      <c r="B232" s="69"/>
      <c r="D232" s="6"/>
      <c r="N232" s="64"/>
      <c r="S232" s="84"/>
      <c r="V232" s="66"/>
      <c r="W232" s="67"/>
      <c r="X232" s="68"/>
    </row>
    <row r="233" spans="1:25" ht="13.5" thickBot="1" x14ac:dyDescent="0.25">
      <c r="B233" s="69" t="s">
        <v>39</v>
      </c>
      <c r="C233" s="69" t="s">
        <v>40</v>
      </c>
      <c r="D233" s="70"/>
      <c r="E233" s="196" t="s">
        <v>41</v>
      </c>
      <c r="F233" s="239">
        <f t="shared" ref="F233:K233" si="98">SUM(F194:F232)</f>
        <v>205465.15998000005</v>
      </c>
      <c r="G233" s="239">
        <f t="shared" si="98"/>
        <v>13697.677332000001</v>
      </c>
      <c r="H233" s="239">
        <f t="shared" si="98"/>
        <v>19699</v>
      </c>
      <c r="I233" s="239">
        <f t="shared" si="98"/>
        <v>862519.63240799995</v>
      </c>
      <c r="J233" s="239">
        <f t="shared" si="98"/>
        <v>212148.04331520002</v>
      </c>
      <c r="K233" s="239">
        <f t="shared" si="98"/>
        <v>39886.390895999997</v>
      </c>
      <c r="L233" s="73"/>
      <c r="N233" s="64"/>
      <c r="S233" s="84"/>
      <c r="V233" s="66"/>
      <c r="W233" s="67"/>
      <c r="X233" s="68"/>
    </row>
    <row r="234" spans="1:25" ht="19.5" customHeight="1" thickBot="1" x14ac:dyDescent="0.25">
      <c r="B234" s="69" t="s">
        <v>43</v>
      </c>
      <c r="C234" s="69" t="s">
        <v>44</v>
      </c>
      <c r="E234" s="240" t="s">
        <v>46</v>
      </c>
      <c r="F234" s="241">
        <f>F233*24</f>
        <v>4931163.8395200018</v>
      </c>
      <c r="G234" s="241">
        <f>G233*5</f>
        <v>68488.386660000004</v>
      </c>
      <c r="H234" s="241">
        <f>H233*24</f>
        <v>472776</v>
      </c>
      <c r="I234" s="241">
        <f>I233</f>
        <v>862519.63240799995</v>
      </c>
      <c r="J234" s="241">
        <f>J233</f>
        <v>212148.04331520002</v>
      </c>
      <c r="K234" s="242">
        <f>K233</f>
        <v>39886.390895999997</v>
      </c>
      <c r="L234" s="73"/>
      <c r="M234" s="77">
        <f>SUM(F234:K234)</f>
        <v>6586982.2927992018</v>
      </c>
      <c r="N234" s="78"/>
      <c r="O234" s="80"/>
      <c r="P234" s="80"/>
      <c r="Q234" s="176"/>
      <c r="R234" s="81">
        <f>SUM(R194:R231)</f>
        <v>3628.92</v>
      </c>
      <c r="S234" s="103">
        <f>M234*(1+V234)</f>
        <v>7113940.8762231385</v>
      </c>
      <c r="T234" s="77"/>
      <c r="U234" s="177">
        <f>SUM(U194:U231)</f>
        <v>68719.304376000029</v>
      </c>
      <c r="V234" s="82">
        <v>0.08</v>
      </c>
      <c r="W234" s="83"/>
      <c r="X234" s="178"/>
      <c r="Y234" s="179"/>
    </row>
    <row r="235" spans="1:25" ht="13.5" customHeight="1" x14ac:dyDescent="0.2">
      <c r="E235" s="243"/>
      <c r="F235" s="73"/>
      <c r="G235" s="73"/>
      <c r="H235" s="73"/>
      <c r="I235" s="73"/>
      <c r="J235" s="73"/>
      <c r="K235" s="244"/>
      <c r="L235" s="73"/>
      <c r="N235" s="64"/>
      <c r="S235" s="84"/>
      <c r="V235" s="66"/>
      <c r="W235" s="67"/>
      <c r="X235" s="68"/>
    </row>
    <row r="236" spans="1:25" ht="15" x14ac:dyDescent="0.25">
      <c r="B236" s="13"/>
      <c r="C236" s="13"/>
      <c r="D236" s="13" t="s">
        <v>639</v>
      </c>
      <c r="E236" s="13"/>
      <c r="F236" s="13"/>
      <c r="G236" s="13"/>
      <c r="H236" s="13"/>
      <c r="I236" s="14"/>
      <c r="J236" s="13"/>
      <c r="K236" s="13"/>
      <c r="L236" s="15"/>
      <c r="N236" s="64"/>
      <c r="S236" s="84"/>
      <c r="V236" s="66"/>
      <c r="W236" s="67"/>
      <c r="X236" s="68"/>
    </row>
    <row r="237" spans="1:25" ht="15" x14ac:dyDescent="0.25">
      <c r="B237" s="16" t="s">
        <v>4</v>
      </c>
      <c r="C237" s="16"/>
      <c r="D237" s="13" t="s">
        <v>272</v>
      </c>
      <c r="E237" s="13"/>
      <c r="F237" s="14"/>
      <c r="G237" s="14"/>
      <c r="H237" s="476"/>
      <c r="I237" s="476"/>
      <c r="J237" s="14"/>
      <c r="K237" s="17"/>
      <c r="L237" s="18"/>
      <c r="N237" s="64"/>
      <c r="S237" s="84"/>
      <c r="V237" s="66"/>
      <c r="W237" s="67"/>
      <c r="X237" s="68"/>
    </row>
    <row r="238" spans="1:25" ht="15.75" thickBot="1" x14ac:dyDescent="0.3">
      <c r="B238" s="18"/>
      <c r="C238" s="18"/>
      <c r="D238" s="245"/>
      <c r="E238" s="245"/>
      <c r="F238" s="15"/>
      <c r="G238" s="15"/>
      <c r="H238" s="15"/>
      <c r="I238" s="15"/>
      <c r="J238" s="15"/>
      <c r="K238" s="116"/>
      <c r="L238" s="18"/>
      <c r="N238" s="64"/>
      <c r="S238" s="84"/>
      <c r="V238" s="66"/>
      <c r="W238" s="67"/>
      <c r="X238" s="68"/>
    </row>
    <row r="239" spans="1:25" ht="12.75" customHeight="1" x14ac:dyDescent="0.2">
      <c r="B239" s="477"/>
      <c r="C239" s="479" t="s">
        <v>7</v>
      </c>
      <c r="D239" s="479" t="s">
        <v>8</v>
      </c>
      <c r="E239" s="479" t="s">
        <v>9</v>
      </c>
      <c r="F239" s="481" t="s">
        <v>10</v>
      </c>
      <c r="G239" s="483" t="s">
        <v>11</v>
      </c>
      <c r="H239" s="481" t="s">
        <v>12</v>
      </c>
      <c r="I239" s="479" t="s">
        <v>13</v>
      </c>
      <c r="J239" s="479" t="s">
        <v>14</v>
      </c>
      <c r="K239" s="493" t="s">
        <v>15</v>
      </c>
      <c r="L239" s="23"/>
      <c r="M239" s="495" t="s">
        <v>16</v>
      </c>
      <c r="N239" s="495" t="s">
        <v>17</v>
      </c>
      <c r="O239" s="489" t="s">
        <v>18</v>
      </c>
      <c r="P239" s="489" t="s">
        <v>19</v>
      </c>
      <c r="Q239" s="489" t="s">
        <v>20</v>
      </c>
      <c r="R239" s="490" t="s">
        <v>21</v>
      </c>
      <c r="S239" s="495" t="s">
        <v>22</v>
      </c>
      <c r="T239" s="495" t="s">
        <v>16</v>
      </c>
      <c r="U239" s="498" t="s">
        <v>23</v>
      </c>
      <c r="V239" s="498" t="s">
        <v>24</v>
      </c>
      <c r="W239" s="489" t="s">
        <v>25</v>
      </c>
      <c r="X239" s="489" t="s">
        <v>26</v>
      </c>
      <c r="Y239" s="497" t="s">
        <v>27</v>
      </c>
    </row>
    <row r="240" spans="1:25" ht="13.5" customHeight="1" thickBot="1" x14ac:dyDescent="0.25">
      <c r="B240" s="478"/>
      <c r="C240" s="480"/>
      <c r="D240" s="480"/>
      <c r="E240" s="480"/>
      <c r="F240" s="482"/>
      <c r="G240" s="484"/>
      <c r="H240" s="482"/>
      <c r="I240" s="480"/>
      <c r="J240" s="480"/>
      <c r="K240" s="494"/>
      <c r="L240" s="23"/>
      <c r="M240" s="495"/>
      <c r="N240" s="495"/>
      <c r="O240" s="489"/>
      <c r="P240" s="489"/>
      <c r="Q240" s="489"/>
      <c r="R240" s="490"/>
      <c r="S240" s="495"/>
      <c r="T240" s="495"/>
      <c r="U240" s="498"/>
      <c r="V240" s="498"/>
      <c r="W240" s="489"/>
      <c r="X240" s="489"/>
      <c r="Y240" s="497"/>
    </row>
    <row r="241" spans="1:25" ht="13.5" customHeight="1" thickBot="1" x14ac:dyDescent="0.25">
      <c r="B241" s="246"/>
      <c r="C241" s="23"/>
      <c r="D241" s="23"/>
      <c r="E241" s="23"/>
      <c r="F241" s="247"/>
      <c r="G241" s="247"/>
      <c r="H241" s="247"/>
      <c r="I241" s="23"/>
      <c r="J241" s="23"/>
      <c r="K241" s="248"/>
      <c r="L241" s="23"/>
      <c r="M241" s="249"/>
      <c r="N241" s="249"/>
      <c r="O241" s="250"/>
      <c r="P241" s="250"/>
      <c r="Q241" s="250"/>
      <c r="R241" s="193"/>
      <c r="S241" s="249"/>
      <c r="T241" s="249"/>
      <c r="U241" s="251"/>
      <c r="V241" s="251"/>
      <c r="W241" s="250"/>
      <c r="X241" s="250"/>
      <c r="Y241" s="252"/>
    </row>
    <row r="242" spans="1:25" ht="13.5" customHeight="1" x14ac:dyDescent="0.2">
      <c r="B242" s="117" t="s">
        <v>273</v>
      </c>
      <c r="C242" s="253" t="s">
        <v>274</v>
      </c>
      <c r="D242" s="27" t="s">
        <v>30</v>
      </c>
      <c r="E242" s="118">
        <v>43525</v>
      </c>
      <c r="F242" s="29">
        <v>6040.3212000000003</v>
      </c>
      <c r="G242" s="29">
        <f t="shared" ref="G242:G246" si="99">F242/15</f>
        <v>402.68808000000001</v>
      </c>
      <c r="H242" s="29"/>
      <c r="I242" s="29">
        <f t="shared" ref="I242:I246" si="100">F242/15*O242</f>
        <v>28188.1656</v>
      </c>
      <c r="J242" s="29">
        <f t="shared" ref="J242:J246" si="101">F242/15*P242</f>
        <v>5798.7083520000006</v>
      </c>
      <c r="K242" s="30">
        <v>0</v>
      </c>
      <c r="L242" s="23"/>
      <c r="M242" s="459">
        <v>5592.89</v>
      </c>
      <c r="N242" s="33">
        <f>M242*(1+8%)</f>
        <v>6040.3212000000003</v>
      </c>
      <c r="O242" s="34">
        <v>70</v>
      </c>
      <c r="P242" s="34">
        <v>14.4</v>
      </c>
      <c r="Q242" s="51">
        <v>43525</v>
      </c>
      <c r="R242" s="441">
        <v>0</v>
      </c>
      <c r="S242" s="60">
        <f t="shared" ref="S242:S246" si="102">M242*(1+V242)</f>
        <v>6040.3212000000003</v>
      </c>
      <c r="T242" s="61">
        <f>S242/1.08</f>
        <v>5592.89</v>
      </c>
      <c r="U242" s="236">
        <f>S242/15*5</f>
        <v>2013.4404</v>
      </c>
      <c r="V242" s="39">
        <v>0.08</v>
      </c>
      <c r="W242" s="40">
        <v>44377</v>
      </c>
      <c r="X242" s="41">
        <f t="shared" ref="X242:X246" si="103">(YEAR(W242)-YEAR(E242))*12+MONTH(W242)-MONTH(E242)</f>
        <v>27</v>
      </c>
      <c r="Y242" s="42">
        <f t="shared" ref="Y242:Y246" si="104">X242/12</f>
        <v>2.25</v>
      </c>
    </row>
    <row r="243" spans="1:25" x14ac:dyDescent="0.2">
      <c r="A243" s="52"/>
      <c r="B243" s="43" t="s">
        <v>275</v>
      </c>
      <c r="C243" s="44" t="s">
        <v>189</v>
      </c>
      <c r="D243" s="45" t="s">
        <v>51</v>
      </c>
      <c r="E243" s="46">
        <v>38574</v>
      </c>
      <c r="F243" s="47">
        <v>4948.4409840000017</v>
      </c>
      <c r="G243" s="47">
        <f t="shared" si="99"/>
        <v>329.8960656000001</v>
      </c>
      <c r="H243" s="47"/>
      <c r="I243" s="47">
        <f t="shared" si="100"/>
        <v>23092.724592000006</v>
      </c>
      <c r="J243" s="47">
        <f t="shared" si="101"/>
        <v>6334.0044595200015</v>
      </c>
      <c r="K243" s="49">
        <f>F243/15*12+R243+R243</f>
        <v>5017.3927872000004</v>
      </c>
      <c r="L243" s="31"/>
      <c r="M243" s="459">
        <v>4581.8898000000008</v>
      </c>
      <c r="N243" s="33">
        <f t="shared" ref="N243:N246" si="105">M243*(1+8%)</f>
        <v>4948.4409840000017</v>
      </c>
      <c r="O243" s="34">
        <v>70</v>
      </c>
      <c r="P243" s="34">
        <v>19.2</v>
      </c>
      <c r="Q243" s="51">
        <v>38574</v>
      </c>
      <c r="R243" s="441">
        <v>529.32000000000005</v>
      </c>
      <c r="S243" s="60">
        <f t="shared" si="102"/>
        <v>4948.4409840000017</v>
      </c>
      <c r="T243" s="61">
        <f t="shared" ref="T243:T246" si="106">S243/1.08</f>
        <v>4581.8898000000008</v>
      </c>
      <c r="U243" s="236">
        <f t="shared" ref="U243:U246" si="107">S243/15*5</f>
        <v>1649.4803280000006</v>
      </c>
      <c r="V243" s="39">
        <v>0.08</v>
      </c>
      <c r="W243" s="40">
        <v>44377</v>
      </c>
      <c r="X243" s="41">
        <f t="shared" si="103"/>
        <v>190</v>
      </c>
      <c r="Y243" s="42">
        <f t="shared" si="104"/>
        <v>15.833333333333334</v>
      </c>
    </row>
    <row r="244" spans="1:25" x14ac:dyDescent="0.2">
      <c r="A244" s="52"/>
      <c r="B244" s="43" t="s">
        <v>276</v>
      </c>
      <c r="C244" s="44" t="s">
        <v>50</v>
      </c>
      <c r="D244" s="45" t="s">
        <v>30</v>
      </c>
      <c r="E244" s="46">
        <v>36613</v>
      </c>
      <c r="F244" s="47">
        <v>3830.6522160000009</v>
      </c>
      <c r="G244" s="47">
        <f t="shared" si="99"/>
        <v>255.37681440000006</v>
      </c>
      <c r="H244" s="47"/>
      <c r="I244" s="47">
        <f t="shared" si="100"/>
        <v>17876.377008000003</v>
      </c>
      <c r="J244" s="47">
        <f t="shared" si="101"/>
        <v>4903.2348364800009</v>
      </c>
      <c r="K244" s="125">
        <f>F244/15*12+R244+R244</f>
        <v>4439.1217728000011</v>
      </c>
      <c r="L244" s="31"/>
      <c r="M244" s="459">
        <v>3546.9002000000005</v>
      </c>
      <c r="N244" s="33">
        <f t="shared" si="105"/>
        <v>3830.6522160000009</v>
      </c>
      <c r="O244" s="34">
        <v>70</v>
      </c>
      <c r="P244" s="34">
        <v>19.2</v>
      </c>
      <c r="Q244" s="51">
        <v>36613</v>
      </c>
      <c r="R244" s="441">
        <v>687.3</v>
      </c>
      <c r="S244" s="60">
        <f t="shared" si="102"/>
        <v>3830.6522160000009</v>
      </c>
      <c r="T244" s="61">
        <f t="shared" si="106"/>
        <v>3546.9002000000005</v>
      </c>
      <c r="U244" s="236">
        <f t="shared" si="107"/>
        <v>1276.8840720000003</v>
      </c>
      <c r="V244" s="39">
        <v>0.08</v>
      </c>
      <c r="W244" s="40">
        <v>44377</v>
      </c>
      <c r="X244" s="41">
        <f t="shared" si="103"/>
        <v>255</v>
      </c>
      <c r="Y244" s="42">
        <f t="shared" si="104"/>
        <v>21.25</v>
      </c>
    </row>
    <row r="245" spans="1:25" x14ac:dyDescent="0.2">
      <c r="A245" s="52"/>
      <c r="B245" s="254" t="s">
        <v>277</v>
      </c>
      <c r="C245" s="255" t="s">
        <v>140</v>
      </c>
      <c r="D245" s="90" t="s">
        <v>51</v>
      </c>
      <c r="E245" s="225">
        <v>38426</v>
      </c>
      <c r="F245" s="124">
        <v>6820.4898720000001</v>
      </c>
      <c r="G245" s="124">
        <f t="shared" si="99"/>
        <v>454.6993248</v>
      </c>
      <c r="H245" s="124"/>
      <c r="I245" s="124">
        <f t="shared" si="100"/>
        <v>31828.952735999999</v>
      </c>
      <c r="J245" s="124">
        <f t="shared" si="101"/>
        <v>8730.2270361600004</v>
      </c>
      <c r="K245" s="125">
        <f>F245/15*12+R245+R245</f>
        <v>6515.0318975999999</v>
      </c>
      <c r="L245" s="31"/>
      <c r="M245" s="459">
        <v>6315.2683999999999</v>
      </c>
      <c r="N245" s="33">
        <f t="shared" si="105"/>
        <v>6820.4898720000001</v>
      </c>
      <c r="O245" s="34">
        <v>70</v>
      </c>
      <c r="P245" s="34">
        <v>19.2</v>
      </c>
      <c r="Q245" s="51">
        <v>38426</v>
      </c>
      <c r="R245" s="441">
        <v>529.32000000000005</v>
      </c>
      <c r="S245" s="60">
        <f t="shared" si="102"/>
        <v>6820.4898720000001</v>
      </c>
      <c r="T245" s="61">
        <f t="shared" si="106"/>
        <v>6315.2683999999999</v>
      </c>
      <c r="U245" s="236">
        <f t="shared" si="107"/>
        <v>2273.4966239999999</v>
      </c>
      <c r="V245" s="39">
        <v>0.08</v>
      </c>
      <c r="W245" s="40">
        <v>44377</v>
      </c>
      <c r="X245" s="41">
        <f t="shared" si="103"/>
        <v>195</v>
      </c>
      <c r="Y245" s="42">
        <f t="shared" si="104"/>
        <v>16.25</v>
      </c>
    </row>
    <row r="246" spans="1:25" ht="13.5" thickBot="1" x14ac:dyDescent="0.25">
      <c r="A246" s="52"/>
      <c r="B246" s="88" t="s">
        <v>278</v>
      </c>
      <c r="C246" s="89" t="s">
        <v>279</v>
      </c>
      <c r="D246" s="90" t="s">
        <v>34</v>
      </c>
      <c r="E246" s="91">
        <v>43344</v>
      </c>
      <c r="F246" s="124">
        <v>9632.2726800000037</v>
      </c>
      <c r="G246" s="124">
        <f t="shared" si="99"/>
        <v>642.15151200000025</v>
      </c>
      <c r="H246" s="124">
        <v>5000</v>
      </c>
      <c r="I246" s="124">
        <f t="shared" si="100"/>
        <v>44950.605840000018</v>
      </c>
      <c r="J246" s="124">
        <f t="shared" si="101"/>
        <v>9246.9817728000035</v>
      </c>
      <c r="K246" s="125"/>
      <c r="L246" s="31"/>
      <c r="M246" s="459">
        <v>8918.7710000000025</v>
      </c>
      <c r="N246" s="33">
        <f t="shared" si="105"/>
        <v>9632.2726800000037</v>
      </c>
      <c r="O246" s="34">
        <v>70</v>
      </c>
      <c r="P246" s="34">
        <v>14.4</v>
      </c>
      <c r="Q246" s="35">
        <v>43344</v>
      </c>
      <c r="R246" s="441">
        <v>0</v>
      </c>
      <c r="S246" s="60">
        <f t="shared" si="102"/>
        <v>9632.2726800000037</v>
      </c>
      <c r="T246" s="61">
        <f t="shared" si="106"/>
        <v>8918.7710000000025</v>
      </c>
      <c r="U246" s="236">
        <f t="shared" si="107"/>
        <v>3210.7575600000014</v>
      </c>
      <c r="V246" s="39">
        <v>0.08</v>
      </c>
      <c r="W246" s="40">
        <v>44377</v>
      </c>
      <c r="X246" s="41">
        <f t="shared" si="103"/>
        <v>33</v>
      </c>
      <c r="Y246" s="42">
        <f t="shared" si="104"/>
        <v>2.75</v>
      </c>
    </row>
    <row r="247" spans="1:25" ht="13.5" thickBot="1" x14ac:dyDescent="0.25">
      <c r="B247" s="97"/>
      <c r="C247" s="97"/>
      <c r="D247" s="98"/>
      <c r="E247" s="99"/>
      <c r="F247" s="100"/>
      <c r="G247" s="100"/>
      <c r="H247" s="100"/>
      <c r="I247" s="100"/>
      <c r="J247" s="100"/>
      <c r="K247" s="101"/>
      <c r="N247" s="64"/>
      <c r="S247" s="84"/>
      <c r="V247" s="66"/>
      <c r="W247" s="67"/>
      <c r="X247" s="68"/>
    </row>
    <row r="248" spans="1:25" x14ac:dyDescent="0.2">
      <c r="B248" s="69" t="s">
        <v>39</v>
      </c>
      <c r="C248" s="69" t="s">
        <v>40</v>
      </c>
      <c r="D248" s="70"/>
      <c r="E248" s="71" t="s">
        <v>41</v>
      </c>
      <c r="F248" s="72">
        <f t="shared" ref="F248" si="108">SUM(F242:F247)</f>
        <v>31272.176952000009</v>
      </c>
      <c r="G248" s="72">
        <f t="shared" ref="G248" si="109">SUM(G242:G247)</f>
        <v>2084.8117968000006</v>
      </c>
      <c r="H248" s="72">
        <f t="shared" ref="H248" si="110">SUM(H242:H247)</f>
        <v>5000</v>
      </c>
      <c r="I248" s="72">
        <f t="shared" ref="I248" si="111">SUM(I242:I247)</f>
        <v>145936.82577600004</v>
      </c>
      <c r="J248" s="72">
        <f t="shared" ref="J248" si="112">SUM(J242:J247)</f>
        <v>35013.156456960009</v>
      </c>
      <c r="K248" s="72">
        <f t="shared" ref="K248" si="113">SUM(K242:K247)</f>
        <v>15971.546457600001</v>
      </c>
      <c r="L248" s="73"/>
      <c r="M248" s="5" t="s">
        <v>42</v>
      </c>
      <c r="N248" s="64"/>
      <c r="S248" s="84"/>
      <c r="V248" s="66"/>
      <c r="W248" s="67"/>
      <c r="X248" s="68"/>
    </row>
    <row r="249" spans="1:25" ht="19.5" customHeight="1" thickBot="1" x14ac:dyDescent="0.25">
      <c r="B249" s="69" t="s">
        <v>43</v>
      </c>
      <c r="C249" s="69" t="s">
        <v>44</v>
      </c>
      <c r="E249" s="232" t="s">
        <v>46</v>
      </c>
      <c r="F249" s="75">
        <f>F248*24</f>
        <v>750532.24684800021</v>
      </c>
      <c r="G249" s="75">
        <f>G248*5</f>
        <v>10424.058984000003</v>
      </c>
      <c r="H249" s="75">
        <f>H248*24</f>
        <v>120000</v>
      </c>
      <c r="I249" s="75">
        <f>I248</f>
        <v>145936.82577600004</v>
      </c>
      <c r="J249" s="75">
        <f>J248</f>
        <v>35013.156456960009</v>
      </c>
      <c r="K249" s="76">
        <f>K248</f>
        <v>15971.546457600001</v>
      </c>
      <c r="L249" s="73"/>
      <c r="M249" s="77">
        <f>SUM(F249:K249)</f>
        <v>1077877.8345225602</v>
      </c>
      <c r="N249" s="78"/>
      <c r="O249" s="80"/>
      <c r="P249" s="80"/>
      <c r="Q249" s="176"/>
      <c r="R249" s="81">
        <f>SUM(R242:R246)</f>
        <v>1745.94</v>
      </c>
      <c r="S249" s="103">
        <f>M249*(1+V249)</f>
        <v>1164108.0612843651</v>
      </c>
      <c r="T249" s="77"/>
      <c r="U249" s="177">
        <f>SUM(U242:U246)</f>
        <v>10424.058984000003</v>
      </c>
      <c r="V249" s="82">
        <v>0.08</v>
      </c>
      <c r="W249" s="83"/>
      <c r="X249" s="178"/>
      <c r="Y249" s="179"/>
    </row>
    <row r="250" spans="1:25" x14ac:dyDescent="0.2">
      <c r="B250" s="69"/>
      <c r="N250" s="64"/>
      <c r="S250" s="84"/>
      <c r="V250" s="66"/>
      <c r="W250" s="67"/>
      <c r="X250" s="68"/>
    </row>
    <row r="251" spans="1:25" ht="15" x14ac:dyDescent="0.25">
      <c r="B251" s="13"/>
      <c r="C251" s="13"/>
      <c r="D251" s="13" t="s">
        <v>639</v>
      </c>
      <c r="E251" s="13"/>
      <c r="F251" s="13"/>
      <c r="G251" s="13"/>
      <c r="H251" s="13"/>
      <c r="I251" s="14"/>
      <c r="J251" s="13"/>
      <c r="K251" s="13"/>
      <c r="L251" s="15"/>
      <c r="N251" s="64"/>
      <c r="S251" s="84"/>
      <c r="V251" s="66"/>
      <c r="W251" s="67"/>
      <c r="X251" s="68"/>
    </row>
    <row r="252" spans="1:25" ht="15" x14ac:dyDescent="0.25">
      <c r="B252" s="16" t="s">
        <v>4</v>
      </c>
      <c r="C252" s="16"/>
      <c r="D252" s="13" t="s">
        <v>280</v>
      </c>
      <c r="E252" s="13"/>
      <c r="F252" s="14"/>
      <c r="G252" s="14"/>
      <c r="H252" s="476"/>
      <c r="I252" s="476"/>
      <c r="J252" s="14"/>
      <c r="K252" s="17"/>
      <c r="L252" s="18"/>
      <c r="N252" s="64"/>
      <c r="S252" s="84"/>
      <c r="V252" s="66"/>
      <c r="W252" s="67"/>
      <c r="X252" s="68"/>
    </row>
    <row r="253" spans="1:25" ht="14.25" thickBot="1" x14ac:dyDescent="0.25">
      <c r="B253" s="19"/>
      <c r="C253" s="19"/>
      <c r="D253" s="19"/>
      <c r="E253" s="19"/>
      <c r="F253" s="20"/>
      <c r="G253" s="20"/>
      <c r="H253" s="20"/>
      <c r="I253" s="20"/>
      <c r="J253" s="20"/>
      <c r="K253" s="22"/>
      <c r="L253" s="19"/>
      <c r="N253" s="64"/>
      <c r="S253" s="84"/>
      <c r="V253" s="66"/>
      <c r="W253" s="67"/>
      <c r="X253" s="68"/>
    </row>
    <row r="254" spans="1:25" ht="12.75" customHeight="1" x14ac:dyDescent="0.2">
      <c r="B254" s="477" t="s">
        <v>6</v>
      </c>
      <c r="C254" s="479" t="s">
        <v>7</v>
      </c>
      <c r="D254" s="479" t="s">
        <v>8</v>
      </c>
      <c r="E254" s="479" t="s">
        <v>9</v>
      </c>
      <c r="F254" s="481" t="s">
        <v>10</v>
      </c>
      <c r="G254" s="483" t="s">
        <v>11</v>
      </c>
      <c r="H254" s="481" t="s">
        <v>12</v>
      </c>
      <c r="I254" s="479" t="s">
        <v>13</v>
      </c>
      <c r="J254" s="479" t="s">
        <v>14</v>
      </c>
      <c r="K254" s="493" t="s">
        <v>15</v>
      </c>
      <c r="L254" s="23"/>
      <c r="M254" s="495" t="s">
        <v>16</v>
      </c>
      <c r="N254" s="495" t="s">
        <v>17</v>
      </c>
      <c r="O254" s="489" t="s">
        <v>18</v>
      </c>
      <c r="P254" s="489" t="s">
        <v>19</v>
      </c>
      <c r="Q254" s="489" t="s">
        <v>20</v>
      </c>
      <c r="R254" s="490" t="s">
        <v>21</v>
      </c>
      <c r="S254" s="495" t="s">
        <v>22</v>
      </c>
      <c r="T254" s="495" t="s">
        <v>16</v>
      </c>
      <c r="U254" s="498" t="s">
        <v>23</v>
      </c>
      <c r="V254" s="498" t="s">
        <v>24</v>
      </c>
      <c r="W254" s="489" t="s">
        <v>25</v>
      </c>
      <c r="X254" s="489" t="s">
        <v>26</v>
      </c>
      <c r="Y254" s="497" t="s">
        <v>27</v>
      </c>
    </row>
    <row r="255" spans="1:25" ht="13.5" customHeight="1" thickBot="1" x14ac:dyDescent="0.25">
      <c r="B255" s="478"/>
      <c r="C255" s="480"/>
      <c r="D255" s="480"/>
      <c r="E255" s="480"/>
      <c r="F255" s="482"/>
      <c r="G255" s="484"/>
      <c r="H255" s="482"/>
      <c r="I255" s="480"/>
      <c r="J255" s="480"/>
      <c r="K255" s="494"/>
      <c r="L255" s="23"/>
      <c r="M255" s="495"/>
      <c r="N255" s="495"/>
      <c r="O255" s="489"/>
      <c r="P255" s="489"/>
      <c r="Q255" s="489"/>
      <c r="R255" s="490"/>
      <c r="S255" s="495"/>
      <c r="T255" s="495"/>
      <c r="U255" s="498"/>
      <c r="V255" s="498"/>
      <c r="W255" s="489"/>
      <c r="X255" s="489"/>
      <c r="Y255" s="497"/>
    </row>
    <row r="256" spans="1:25" ht="13.5" customHeight="1" thickBot="1" x14ac:dyDescent="0.25">
      <c r="B256" s="246"/>
      <c r="C256" s="23"/>
      <c r="D256" s="23"/>
      <c r="E256" s="23"/>
      <c r="F256" s="247"/>
      <c r="G256" s="247"/>
      <c r="H256" s="247"/>
      <c r="I256" s="23"/>
      <c r="J256" s="23"/>
      <c r="K256" s="248"/>
      <c r="L256" s="23"/>
      <c r="N256" s="64"/>
      <c r="S256" s="84"/>
      <c r="V256" s="66"/>
      <c r="W256" s="67"/>
      <c r="X256" s="68"/>
    </row>
    <row r="257" spans="1:25" x14ac:dyDescent="0.2">
      <c r="A257" s="52"/>
      <c r="B257" s="25" t="s">
        <v>281</v>
      </c>
      <c r="C257" s="256" t="s">
        <v>61</v>
      </c>
      <c r="D257" s="27" t="s">
        <v>30</v>
      </c>
      <c r="E257" s="27" t="s">
        <v>282</v>
      </c>
      <c r="F257" s="29">
        <v>3091.23</v>
      </c>
      <c r="G257" s="29">
        <f>F257/15</f>
        <v>206.08199999999999</v>
      </c>
      <c r="H257" s="257"/>
      <c r="I257" s="29">
        <f>F257/15*O257</f>
        <v>14425.74</v>
      </c>
      <c r="J257" s="29">
        <f>F257/15*P257</f>
        <v>2967.5808000000002</v>
      </c>
      <c r="K257" s="258"/>
      <c r="L257" s="235"/>
      <c r="M257" s="453">
        <v>2862.25</v>
      </c>
      <c r="N257" s="87">
        <f>M257*(1+8%)</f>
        <v>3091.23</v>
      </c>
      <c r="O257" s="34">
        <v>70</v>
      </c>
      <c r="P257" s="34">
        <v>14.4</v>
      </c>
      <c r="Q257" s="126" t="s">
        <v>282</v>
      </c>
      <c r="R257" s="36">
        <v>0</v>
      </c>
      <c r="S257" s="103">
        <f>M257*(1+V257)</f>
        <v>3091.23</v>
      </c>
      <c r="T257" s="38">
        <f>S257/1.08</f>
        <v>2862.25</v>
      </c>
      <c r="U257" s="259">
        <f>S257/15*5</f>
        <v>1030.4099999999999</v>
      </c>
      <c r="V257" s="39">
        <v>0.08</v>
      </c>
      <c r="W257" s="40">
        <v>44377</v>
      </c>
      <c r="X257" s="41">
        <f>(YEAR(W257)-YEAR(E257))*12+MONTH(W257)-MONTH(E257)</f>
        <v>28</v>
      </c>
      <c r="Y257" s="42">
        <f>X257/12</f>
        <v>2.3333333333333335</v>
      </c>
    </row>
    <row r="258" spans="1:25" x14ac:dyDescent="0.2">
      <c r="B258" s="164" t="s">
        <v>283</v>
      </c>
      <c r="C258" s="44" t="s">
        <v>284</v>
      </c>
      <c r="D258" s="45" t="s">
        <v>30</v>
      </c>
      <c r="E258" s="46">
        <v>36753</v>
      </c>
      <c r="F258" s="47">
        <v>4415.5129320000005</v>
      </c>
      <c r="G258" s="47">
        <f>F258/15</f>
        <v>294.36752880000006</v>
      </c>
      <c r="H258" s="48"/>
      <c r="I258" s="47">
        <f>F258/15*O258</f>
        <v>20605.727016000004</v>
      </c>
      <c r="J258" s="47">
        <f>F258/15*P258</f>
        <v>5651.856552960001</v>
      </c>
      <c r="K258" s="49">
        <f>F258/15*12+R258+R258</f>
        <v>4907.1703456000005</v>
      </c>
      <c r="L258" s="50"/>
      <c r="M258" s="454">
        <v>4088.4379000000004</v>
      </c>
      <c r="N258" s="87">
        <f t="shared" ref="N258:N259" si="114">M258*(1+8%)</f>
        <v>4415.5129320000005</v>
      </c>
      <c r="O258" s="34">
        <v>70</v>
      </c>
      <c r="P258" s="34">
        <v>19.2</v>
      </c>
      <c r="Q258" s="51">
        <v>36753</v>
      </c>
      <c r="R258" s="36">
        <v>687.38</v>
      </c>
      <c r="S258" s="37">
        <f>M258*(1+V258)</f>
        <v>4415.5129320000005</v>
      </c>
      <c r="T258" s="38">
        <f t="shared" ref="T258:T259" si="115">S258/1.08</f>
        <v>4088.4379000000004</v>
      </c>
      <c r="U258" s="259">
        <f t="shared" ref="U258:U259" si="116">S258/15*5</f>
        <v>1471.8376440000002</v>
      </c>
      <c r="V258" s="39">
        <v>0.08</v>
      </c>
      <c r="W258" s="40">
        <v>44377</v>
      </c>
      <c r="X258" s="41">
        <f>(YEAR(W258)-YEAR(E258))*12+MONTH(W258)-MONTH(E258)</f>
        <v>250</v>
      </c>
      <c r="Y258" s="42">
        <f>X258/12</f>
        <v>20.833333333333332</v>
      </c>
    </row>
    <row r="259" spans="1:25" ht="12.75" customHeight="1" thickBot="1" x14ac:dyDescent="0.25">
      <c r="A259" s="52"/>
      <c r="B259" s="260" t="s">
        <v>285</v>
      </c>
      <c r="C259" s="54" t="s">
        <v>286</v>
      </c>
      <c r="D259" s="55" t="s">
        <v>34</v>
      </c>
      <c r="E259" s="56">
        <v>43605</v>
      </c>
      <c r="F259" s="57">
        <v>12383.467380000004</v>
      </c>
      <c r="G259" s="57">
        <f>F259/15</f>
        <v>825.5644920000002</v>
      </c>
      <c r="H259" s="57"/>
      <c r="I259" s="57">
        <f>F259/15*O259</f>
        <v>57789.514440000014</v>
      </c>
      <c r="J259" s="57">
        <f>F259/15*P259</f>
        <v>11888.128684800004</v>
      </c>
      <c r="K259" s="58"/>
      <c r="L259" s="31"/>
      <c r="M259" s="463">
        <v>11466.173500000003</v>
      </c>
      <c r="N259" s="87">
        <f t="shared" si="114"/>
        <v>12383.467380000004</v>
      </c>
      <c r="O259" s="34">
        <v>70</v>
      </c>
      <c r="P259" s="34">
        <v>14.4</v>
      </c>
      <c r="Q259" s="35">
        <v>43605</v>
      </c>
      <c r="R259" s="36">
        <v>0</v>
      </c>
      <c r="S259" s="103">
        <f>M259*(1+V259)</f>
        <v>12383.467380000004</v>
      </c>
      <c r="T259" s="38">
        <f t="shared" si="115"/>
        <v>11466.173500000003</v>
      </c>
      <c r="U259" s="259">
        <f t="shared" si="116"/>
        <v>4127.8224600000012</v>
      </c>
      <c r="V259" s="39">
        <v>0.08</v>
      </c>
      <c r="W259" s="40">
        <v>44377</v>
      </c>
      <c r="X259" s="41">
        <f>(YEAR(W259)-YEAR(E259))*12+MONTH(W259)-MONTH(E259)</f>
        <v>25</v>
      </c>
      <c r="Y259" s="42">
        <f>X259/12</f>
        <v>2.0833333333333335</v>
      </c>
    </row>
    <row r="260" spans="1:25" ht="13.5" thickBot="1" x14ac:dyDescent="0.25">
      <c r="D260" s="6"/>
      <c r="E260" s="62"/>
      <c r="F260" s="198"/>
      <c r="G260" s="198"/>
      <c r="H260" s="198"/>
      <c r="I260" s="198"/>
      <c r="J260" s="198"/>
      <c r="K260" s="199"/>
      <c r="N260" s="64"/>
      <c r="S260" s="84"/>
      <c r="V260" s="66"/>
      <c r="W260" s="67"/>
      <c r="X260" s="68"/>
    </row>
    <row r="261" spans="1:25" x14ac:dyDescent="0.2">
      <c r="B261" s="69" t="s">
        <v>39</v>
      </c>
      <c r="C261" s="69" t="s">
        <v>40</v>
      </c>
      <c r="D261" s="70"/>
      <c r="E261" s="71" t="s">
        <v>41</v>
      </c>
      <c r="F261" s="72">
        <f t="shared" ref="F261:K261" si="117">SUM(F257:F260)</f>
        <v>19890.210312000003</v>
      </c>
      <c r="G261" s="72">
        <f t="shared" si="117"/>
        <v>1326.0140208000003</v>
      </c>
      <c r="H261" s="72">
        <f t="shared" si="117"/>
        <v>0</v>
      </c>
      <c r="I261" s="72">
        <f t="shared" si="117"/>
        <v>92820.981456000009</v>
      </c>
      <c r="J261" s="72">
        <f t="shared" si="117"/>
        <v>20507.566037760007</v>
      </c>
      <c r="K261" s="72">
        <f t="shared" si="117"/>
        <v>4907.1703456000005</v>
      </c>
      <c r="L261" s="73"/>
      <c r="M261" s="5" t="s">
        <v>42</v>
      </c>
      <c r="N261" s="64"/>
      <c r="S261" s="84"/>
      <c r="V261" s="66"/>
      <c r="W261" s="67"/>
      <c r="X261" s="68"/>
    </row>
    <row r="262" spans="1:25" ht="19.5" customHeight="1" thickBot="1" x14ac:dyDescent="0.25">
      <c r="B262" s="69" t="s">
        <v>43</v>
      </c>
      <c r="C262" s="69" t="s">
        <v>44</v>
      </c>
      <c r="E262" s="232" t="s">
        <v>46</v>
      </c>
      <c r="F262" s="75">
        <f>F261*24</f>
        <v>477365.04748800007</v>
      </c>
      <c r="G262" s="75">
        <f>G261*5</f>
        <v>6630.0701040000013</v>
      </c>
      <c r="H262" s="75">
        <f>H261*24</f>
        <v>0</v>
      </c>
      <c r="I262" s="75">
        <f>I261</f>
        <v>92820.981456000009</v>
      </c>
      <c r="J262" s="75">
        <f>J261</f>
        <v>20507.566037760007</v>
      </c>
      <c r="K262" s="76">
        <f>K261</f>
        <v>4907.1703456000005</v>
      </c>
      <c r="L262" s="73"/>
      <c r="M262" s="77">
        <f>SUM(F262:K262)</f>
        <v>602230.83543136006</v>
      </c>
      <c r="N262" s="78"/>
      <c r="O262" s="80"/>
      <c r="P262" s="80"/>
      <c r="Q262" s="176"/>
      <c r="R262" s="81">
        <f>SUM(R257:R259)</f>
        <v>687.38</v>
      </c>
      <c r="S262" s="103">
        <f>M262*(1+V262)</f>
        <v>650409.30226586887</v>
      </c>
      <c r="T262" s="77"/>
      <c r="U262" s="177">
        <f>SUM(U257:U259)</f>
        <v>6630.0701040000013</v>
      </c>
      <c r="V262" s="82">
        <v>0.08</v>
      </c>
      <c r="W262" s="83"/>
      <c r="X262" s="178"/>
      <c r="Y262" s="179"/>
    </row>
    <row r="263" spans="1:25" ht="10.5" customHeight="1" x14ac:dyDescent="0.2">
      <c r="B263" s="69"/>
      <c r="E263" s="243"/>
      <c r="F263" s="73"/>
      <c r="G263" s="73"/>
      <c r="H263" s="73"/>
      <c r="I263" s="73"/>
      <c r="J263" s="73"/>
      <c r="K263" s="244"/>
      <c r="L263" s="73"/>
      <c r="N263" s="64"/>
      <c r="S263" s="84"/>
      <c r="V263" s="66"/>
      <c r="W263" s="67"/>
      <c r="X263" s="68"/>
    </row>
    <row r="264" spans="1:25" ht="15" x14ac:dyDescent="0.25">
      <c r="B264" s="13"/>
      <c r="C264" s="13"/>
      <c r="D264" s="13" t="s">
        <v>639</v>
      </c>
      <c r="E264" s="13"/>
      <c r="F264" s="13"/>
      <c r="G264" s="13"/>
      <c r="H264" s="13"/>
      <c r="I264" s="14"/>
      <c r="J264" s="13"/>
      <c r="K264" s="13"/>
      <c r="L264" s="15"/>
      <c r="N264" s="64"/>
      <c r="S264" s="84"/>
      <c r="V264" s="66"/>
      <c r="W264" s="67"/>
      <c r="X264" s="68"/>
    </row>
    <row r="265" spans="1:25" ht="15" x14ac:dyDescent="0.25">
      <c r="B265" s="16" t="s">
        <v>4</v>
      </c>
      <c r="C265" s="16"/>
      <c r="D265" s="13" t="s">
        <v>287</v>
      </c>
      <c r="E265" s="13"/>
      <c r="F265" s="14"/>
      <c r="G265" s="14"/>
      <c r="H265" s="476"/>
      <c r="I265" s="476"/>
      <c r="J265" s="14"/>
      <c r="K265" s="17"/>
      <c r="L265" s="18"/>
      <c r="N265" s="64"/>
      <c r="S265" s="84"/>
      <c r="V265" s="66"/>
      <c r="W265" s="67"/>
      <c r="X265" s="68"/>
    </row>
    <row r="266" spans="1:25" ht="14.25" thickBot="1" x14ac:dyDescent="0.25">
      <c r="B266" s="19"/>
      <c r="C266" s="19"/>
      <c r="D266" s="19"/>
      <c r="E266" s="19"/>
      <c r="F266" s="20"/>
      <c r="G266" s="20"/>
      <c r="H266" s="20"/>
      <c r="I266" s="20"/>
      <c r="J266" s="20"/>
      <c r="K266" s="22"/>
      <c r="L266" s="19"/>
      <c r="N266" s="64"/>
      <c r="S266" s="84"/>
      <c r="V266" s="66"/>
      <c r="W266" s="67"/>
      <c r="X266" s="68"/>
    </row>
    <row r="267" spans="1:25" ht="12.75" customHeight="1" x14ac:dyDescent="0.2">
      <c r="B267" s="503" t="s">
        <v>6</v>
      </c>
      <c r="C267" s="499" t="s">
        <v>7</v>
      </c>
      <c r="D267" s="499" t="s">
        <v>8</v>
      </c>
      <c r="E267" s="499" t="s">
        <v>9</v>
      </c>
      <c r="F267" s="483" t="s">
        <v>10</v>
      </c>
      <c r="G267" s="483" t="s">
        <v>11</v>
      </c>
      <c r="H267" s="483" t="s">
        <v>12</v>
      </c>
      <c r="I267" s="499" t="s">
        <v>13</v>
      </c>
      <c r="J267" s="499" t="s">
        <v>14</v>
      </c>
      <c r="K267" s="501" t="s">
        <v>15</v>
      </c>
      <c r="L267" s="23"/>
      <c r="M267" s="495" t="s">
        <v>16</v>
      </c>
      <c r="N267" s="495" t="s">
        <v>17</v>
      </c>
      <c r="O267" s="489" t="s">
        <v>18</v>
      </c>
      <c r="P267" s="489" t="s">
        <v>19</v>
      </c>
      <c r="Q267" s="489" t="s">
        <v>20</v>
      </c>
      <c r="R267" s="490" t="s">
        <v>21</v>
      </c>
      <c r="S267" s="495" t="s">
        <v>22</v>
      </c>
      <c r="T267" s="495" t="s">
        <v>16</v>
      </c>
      <c r="U267" s="498" t="s">
        <v>23</v>
      </c>
      <c r="V267" s="498" t="s">
        <v>24</v>
      </c>
      <c r="W267" s="489" t="s">
        <v>25</v>
      </c>
      <c r="X267" s="489" t="s">
        <v>26</v>
      </c>
      <c r="Y267" s="497" t="s">
        <v>27</v>
      </c>
    </row>
    <row r="268" spans="1:25" ht="12.75" customHeight="1" thickBot="1" x14ac:dyDescent="0.25">
      <c r="B268" s="504"/>
      <c r="C268" s="500"/>
      <c r="D268" s="500"/>
      <c r="E268" s="500"/>
      <c r="F268" s="484"/>
      <c r="G268" s="484"/>
      <c r="H268" s="484"/>
      <c r="I268" s="500"/>
      <c r="J268" s="500"/>
      <c r="K268" s="502"/>
      <c r="L268" s="23"/>
      <c r="M268" s="495"/>
      <c r="N268" s="495"/>
      <c r="O268" s="489"/>
      <c r="P268" s="489"/>
      <c r="Q268" s="489"/>
      <c r="R268" s="490"/>
      <c r="S268" s="495"/>
      <c r="T268" s="495"/>
      <c r="U268" s="498"/>
      <c r="V268" s="498"/>
      <c r="W268" s="489"/>
      <c r="X268" s="489"/>
      <c r="Y268" s="497"/>
    </row>
    <row r="269" spans="1:25" ht="12.75" customHeight="1" thickBot="1" x14ac:dyDescent="0.25">
      <c r="B269" s="23"/>
      <c r="C269" s="23"/>
      <c r="D269" s="23"/>
      <c r="E269" s="23"/>
      <c r="F269" s="247"/>
      <c r="G269" s="247"/>
      <c r="H269" s="247"/>
      <c r="I269" s="23"/>
      <c r="J269" s="23"/>
      <c r="K269" s="248"/>
      <c r="L269" s="23"/>
      <c r="N269" s="64"/>
      <c r="S269" s="84"/>
      <c r="V269" s="66"/>
      <c r="W269" s="67"/>
      <c r="X269" s="68"/>
    </row>
    <row r="270" spans="1:25" x14ac:dyDescent="0.2">
      <c r="B270" s="25" t="s">
        <v>288</v>
      </c>
      <c r="C270" s="26" t="s">
        <v>289</v>
      </c>
      <c r="D270" s="27" t="s">
        <v>30</v>
      </c>
      <c r="E270" s="28">
        <v>43388</v>
      </c>
      <c r="F270" s="29">
        <v>8667.0000000000018</v>
      </c>
      <c r="G270" s="29">
        <f>F270/15</f>
        <v>577.80000000000007</v>
      </c>
      <c r="H270" s="29"/>
      <c r="I270" s="29">
        <f>F270/15*O270</f>
        <v>40446.000000000007</v>
      </c>
      <c r="J270" s="29">
        <f>F270/15*P270</f>
        <v>8320.3200000000015</v>
      </c>
      <c r="K270" s="30"/>
      <c r="L270" s="31"/>
      <c r="M270" s="459">
        <v>8587</v>
      </c>
      <c r="N270" s="87">
        <f>M270*(1+8%)</f>
        <v>9273.9600000000009</v>
      </c>
      <c r="O270" s="34">
        <v>70</v>
      </c>
      <c r="P270" s="34">
        <v>14.4</v>
      </c>
      <c r="Q270" s="35">
        <v>43388</v>
      </c>
      <c r="R270" s="36">
        <v>0</v>
      </c>
      <c r="S270" s="37">
        <f>M270*(1+V270)</f>
        <v>9273.9600000000009</v>
      </c>
      <c r="T270" s="38">
        <f>S270/1.07</f>
        <v>8667.2523364485987</v>
      </c>
      <c r="U270" s="38">
        <f>S270/15*5</f>
        <v>3091.32</v>
      </c>
      <c r="V270" s="39">
        <v>0.08</v>
      </c>
      <c r="W270" s="40">
        <v>44377</v>
      </c>
      <c r="X270" s="41">
        <f>(YEAR(W270)-YEAR(E270))*12+MONTH(W270)-MONTH(E270)</f>
        <v>32</v>
      </c>
      <c r="Y270" s="42">
        <f>X270/12</f>
        <v>2.6666666666666665</v>
      </c>
    </row>
    <row r="271" spans="1:25" s="277" customFormat="1" ht="14.25" customHeight="1" thickBot="1" x14ac:dyDescent="0.25">
      <c r="A271" s="261"/>
      <c r="B271" s="262" t="s">
        <v>290</v>
      </c>
      <c r="C271" s="263" t="s">
        <v>291</v>
      </c>
      <c r="D271" s="264" t="s">
        <v>34</v>
      </c>
      <c r="E271" s="265">
        <v>42005</v>
      </c>
      <c r="F271" s="266">
        <v>12859.516800000001</v>
      </c>
      <c r="G271" s="266">
        <f>F271/15</f>
        <v>857.30112000000008</v>
      </c>
      <c r="H271" s="266">
        <v>4000</v>
      </c>
      <c r="I271" s="266">
        <f>F271/15*O271</f>
        <v>60011.078400000006</v>
      </c>
      <c r="J271" s="266">
        <f>F271/15*P271</f>
        <v>16460.181504</v>
      </c>
      <c r="K271" s="267">
        <f>F271/15*12+R271+R271</f>
        <v>10957.933440000001</v>
      </c>
      <c r="L271" s="268"/>
      <c r="M271" s="459">
        <v>12740</v>
      </c>
      <c r="N271" s="269">
        <f>M271*(1+8%)</f>
        <v>13759.2</v>
      </c>
      <c r="O271" s="34">
        <v>70</v>
      </c>
      <c r="P271" s="34">
        <v>19.2</v>
      </c>
      <c r="Q271" s="35">
        <v>42005</v>
      </c>
      <c r="R271" s="36">
        <v>335.16</v>
      </c>
      <c r="S271" s="270">
        <f>M271*(1+V271)</f>
        <v>13759.2</v>
      </c>
      <c r="T271" s="271">
        <f>S271/1.07</f>
        <v>12859.065420560748</v>
      </c>
      <c r="U271" s="272">
        <f>S271/15*5</f>
        <v>4586.4000000000005</v>
      </c>
      <c r="V271" s="273">
        <v>0.08</v>
      </c>
      <c r="W271" s="274">
        <v>44377</v>
      </c>
      <c r="X271" s="275">
        <f>(YEAR(W271)-YEAR(E271))*12+MONTH(W271)-MONTH(E271)</f>
        <v>77</v>
      </c>
      <c r="Y271" s="276">
        <f>X271/12</f>
        <v>6.416666666666667</v>
      </c>
    </row>
    <row r="272" spans="1:25" ht="13.5" customHeight="1" thickBot="1" x14ac:dyDescent="0.25">
      <c r="D272" s="6"/>
      <c r="E272" s="62"/>
      <c r="F272" s="198"/>
      <c r="G272" s="198"/>
      <c r="H272" s="198"/>
      <c r="I272" s="198"/>
      <c r="J272" s="198"/>
      <c r="K272" s="199"/>
      <c r="N272" s="64"/>
      <c r="S272" s="84"/>
      <c r="V272" s="66"/>
      <c r="W272" s="67"/>
      <c r="X272" s="278"/>
    </row>
    <row r="273" spans="1:25" x14ac:dyDescent="0.2">
      <c r="B273" s="69" t="s">
        <v>39</v>
      </c>
      <c r="C273" s="69" t="s">
        <v>40</v>
      </c>
      <c r="D273" s="70"/>
      <c r="E273" s="71" t="s">
        <v>41</v>
      </c>
      <c r="F273" s="72">
        <f t="shared" ref="F273:K273" si="118">SUM(F270:F271)</f>
        <v>21526.516800000005</v>
      </c>
      <c r="G273" s="72">
        <f t="shared" si="118"/>
        <v>1435.1011200000003</v>
      </c>
      <c r="H273" s="72">
        <f t="shared" si="118"/>
        <v>4000</v>
      </c>
      <c r="I273" s="72">
        <f t="shared" si="118"/>
        <v>100457.07840000001</v>
      </c>
      <c r="J273" s="72">
        <f t="shared" si="118"/>
        <v>24780.501504</v>
      </c>
      <c r="K273" s="197">
        <f t="shared" si="118"/>
        <v>10957.933440000001</v>
      </c>
      <c r="L273" s="73"/>
      <c r="M273" s="5" t="s">
        <v>42</v>
      </c>
      <c r="N273" s="64"/>
      <c r="S273" s="84"/>
      <c r="V273" s="66"/>
      <c r="W273" s="67"/>
      <c r="X273" s="68"/>
    </row>
    <row r="274" spans="1:25" ht="19.5" customHeight="1" thickBot="1" x14ac:dyDescent="0.25">
      <c r="B274" s="69" t="s">
        <v>43</v>
      </c>
      <c r="C274" s="69" t="s">
        <v>44</v>
      </c>
      <c r="E274" s="232" t="s">
        <v>46</v>
      </c>
      <c r="F274" s="75">
        <f>F273*24</f>
        <v>516636.40320000012</v>
      </c>
      <c r="G274" s="75">
        <f>G273*5</f>
        <v>7175.5056000000013</v>
      </c>
      <c r="H274" s="75">
        <f>H273*24</f>
        <v>96000</v>
      </c>
      <c r="I274" s="75">
        <f>I273</f>
        <v>100457.07840000001</v>
      </c>
      <c r="J274" s="75">
        <f>J273</f>
        <v>24780.501504</v>
      </c>
      <c r="K274" s="76">
        <f>K273</f>
        <v>10957.933440000001</v>
      </c>
      <c r="L274" s="73"/>
      <c r="M274" s="77">
        <f>SUM(F274:K274)</f>
        <v>756007.42214400019</v>
      </c>
      <c r="N274" s="78"/>
      <c r="O274" s="80"/>
      <c r="P274" s="80"/>
      <c r="Q274" s="176"/>
      <c r="R274" s="81">
        <f>SUM(R270:R271)</f>
        <v>335.16</v>
      </c>
      <c r="S274" s="103">
        <f>M274*(1+V274)</f>
        <v>816488.01591552026</v>
      </c>
      <c r="T274" s="77"/>
      <c r="U274" s="177">
        <f>SUM(U270:U271)</f>
        <v>7677.7200000000012</v>
      </c>
      <c r="V274" s="82">
        <v>0.08</v>
      </c>
      <c r="W274" s="83"/>
      <c r="X274" s="178"/>
      <c r="Y274" s="179"/>
    </row>
    <row r="275" spans="1:25" ht="13.5" customHeight="1" x14ac:dyDescent="0.2">
      <c r="B275" s="69"/>
      <c r="E275" s="243"/>
      <c r="F275" s="73"/>
      <c r="G275" s="73"/>
      <c r="H275" s="73"/>
      <c r="I275" s="73"/>
      <c r="J275" s="73"/>
      <c r="K275" s="244"/>
      <c r="L275" s="73"/>
      <c r="N275" s="64"/>
      <c r="S275" s="84"/>
      <c r="V275" s="66"/>
      <c r="W275" s="67"/>
      <c r="X275" s="68"/>
    </row>
    <row r="276" spans="1:25" x14ac:dyDescent="0.2">
      <c r="B276" s="2"/>
      <c r="C276" s="2"/>
      <c r="D276" s="2"/>
      <c r="E276" s="2"/>
      <c r="F276" s="3"/>
      <c r="G276" s="3"/>
      <c r="H276" s="3"/>
      <c r="I276" s="3"/>
      <c r="J276" s="3"/>
      <c r="K276" s="4"/>
      <c r="N276" s="64"/>
      <c r="Q276" s="206"/>
      <c r="S276" s="84"/>
      <c r="V276" s="66"/>
      <c r="W276" s="67"/>
      <c r="X276" s="68"/>
    </row>
    <row r="277" spans="1:25" ht="15" x14ac:dyDescent="0.25">
      <c r="B277" s="13"/>
      <c r="C277" s="13"/>
      <c r="D277" s="13" t="s">
        <v>639</v>
      </c>
      <c r="E277" s="13"/>
      <c r="F277" s="13"/>
      <c r="G277" s="13"/>
      <c r="H277" s="13"/>
      <c r="I277" s="14"/>
      <c r="J277" s="13"/>
      <c r="K277" s="13"/>
      <c r="L277" s="15"/>
      <c r="N277" s="64"/>
      <c r="S277" s="84"/>
      <c r="V277" s="66"/>
      <c r="W277" s="67"/>
      <c r="X277" s="68"/>
    </row>
    <row r="278" spans="1:25" ht="15" x14ac:dyDescent="0.25">
      <c r="B278" s="16" t="s">
        <v>4</v>
      </c>
      <c r="C278" s="16"/>
      <c r="D278" s="13" t="s">
        <v>292</v>
      </c>
      <c r="E278" s="13"/>
      <c r="F278" s="14"/>
      <c r="G278" s="14"/>
      <c r="H278" s="476"/>
      <c r="I278" s="476"/>
      <c r="J278" s="14"/>
      <c r="K278" s="17"/>
      <c r="L278" s="18"/>
      <c r="N278" s="64"/>
      <c r="S278" s="84"/>
      <c r="V278" s="66"/>
      <c r="W278" s="67"/>
      <c r="X278" s="68"/>
    </row>
    <row r="279" spans="1:25" ht="15.75" thickBot="1" x14ac:dyDescent="0.3">
      <c r="B279" s="18"/>
      <c r="C279" s="18"/>
      <c r="D279" s="245"/>
      <c r="E279" s="245"/>
      <c r="F279" s="15"/>
      <c r="G279" s="15"/>
      <c r="H279" s="15"/>
      <c r="I279" s="15"/>
      <c r="J279" s="15"/>
      <c r="K279" s="116"/>
      <c r="L279" s="18"/>
      <c r="N279" s="64"/>
      <c r="S279" s="84"/>
      <c r="V279" s="66"/>
      <c r="W279" s="67"/>
      <c r="X279" s="68"/>
    </row>
    <row r="280" spans="1:25" ht="12.75" customHeight="1" x14ac:dyDescent="0.2">
      <c r="B280" s="477" t="s">
        <v>6</v>
      </c>
      <c r="C280" s="479" t="s">
        <v>7</v>
      </c>
      <c r="D280" s="479" t="s">
        <v>8</v>
      </c>
      <c r="E280" s="479" t="s">
        <v>9</v>
      </c>
      <c r="F280" s="481" t="s">
        <v>10</v>
      </c>
      <c r="G280" s="483" t="s">
        <v>11</v>
      </c>
      <c r="H280" s="481" t="s">
        <v>12</v>
      </c>
      <c r="I280" s="479" t="s">
        <v>13</v>
      </c>
      <c r="J280" s="479" t="s">
        <v>14</v>
      </c>
      <c r="K280" s="493" t="s">
        <v>15</v>
      </c>
      <c r="L280" s="23"/>
      <c r="M280" s="495" t="s">
        <v>16</v>
      </c>
      <c r="N280" s="495" t="s">
        <v>17</v>
      </c>
      <c r="O280" s="489" t="s">
        <v>18</v>
      </c>
      <c r="P280" s="489" t="s">
        <v>19</v>
      </c>
      <c r="Q280" s="489" t="s">
        <v>20</v>
      </c>
      <c r="R280" s="490" t="s">
        <v>21</v>
      </c>
      <c r="S280" s="495" t="s">
        <v>22</v>
      </c>
      <c r="T280" s="495" t="s">
        <v>16</v>
      </c>
      <c r="U280" s="498" t="s">
        <v>23</v>
      </c>
      <c r="V280" s="498" t="s">
        <v>24</v>
      </c>
      <c r="W280" s="489" t="s">
        <v>25</v>
      </c>
      <c r="X280" s="489" t="s">
        <v>26</v>
      </c>
      <c r="Y280" s="497" t="s">
        <v>27</v>
      </c>
    </row>
    <row r="281" spans="1:25" ht="13.5" customHeight="1" thickBot="1" x14ac:dyDescent="0.25">
      <c r="B281" s="478"/>
      <c r="C281" s="480"/>
      <c r="D281" s="480"/>
      <c r="E281" s="480"/>
      <c r="F281" s="482"/>
      <c r="G281" s="484"/>
      <c r="H281" s="482"/>
      <c r="I281" s="480"/>
      <c r="J281" s="480"/>
      <c r="K281" s="494"/>
      <c r="L281" s="23"/>
      <c r="M281" s="495"/>
      <c r="N281" s="495"/>
      <c r="O281" s="489"/>
      <c r="P281" s="489"/>
      <c r="Q281" s="489"/>
      <c r="R281" s="490"/>
      <c r="S281" s="495"/>
      <c r="T281" s="495"/>
      <c r="U281" s="498"/>
      <c r="V281" s="498"/>
      <c r="W281" s="489"/>
      <c r="X281" s="489"/>
      <c r="Y281" s="497"/>
    </row>
    <row r="282" spans="1:25" ht="13.5" thickBot="1" x14ac:dyDescent="0.25">
      <c r="D282" s="6"/>
      <c r="N282" s="64"/>
      <c r="S282" s="84"/>
      <c r="V282" s="66"/>
      <c r="W282" s="67"/>
      <c r="X282" s="68"/>
    </row>
    <row r="283" spans="1:25" x14ac:dyDescent="0.2">
      <c r="A283" s="52"/>
      <c r="B283" s="279" t="s">
        <v>293</v>
      </c>
      <c r="C283" s="256" t="s">
        <v>294</v>
      </c>
      <c r="D283" s="27" t="s">
        <v>34</v>
      </c>
      <c r="E283" s="28">
        <v>43344</v>
      </c>
      <c r="F283" s="29">
        <v>19215.08568</v>
      </c>
      <c r="G283" s="29">
        <f t="shared" ref="G283:G293" si="119">F283/15</f>
        <v>1281.0057119999999</v>
      </c>
      <c r="H283" s="29">
        <v>5648</v>
      </c>
      <c r="I283" s="29">
        <f t="shared" ref="I283:I293" si="120">F283/15*O283</f>
        <v>89670.399839999998</v>
      </c>
      <c r="J283" s="29">
        <v>0</v>
      </c>
      <c r="K283" s="30">
        <v>0</v>
      </c>
      <c r="L283" s="31"/>
      <c r="M283" s="460">
        <v>17791.745999999999</v>
      </c>
      <c r="N283" s="87">
        <f>M283*(1+8%)</f>
        <v>19215.08568</v>
      </c>
      <c r="O283" s="34">
        <v>70</v>
      </c>
      <c r="P283" s="34"/>
      <c r="Q283" s="280">
        <v>43344</v>
      </c>
      <c r="R283" s="36">
        <v>0</v>
      </c>
      <c r="S283" s="103">
        <f t="shared" ref="S283:S293" si="121">M283*(1+V283)</f>
        <v>19215.08568</v>
      </c>
      <c r="T283" s="38">
        <f t="shared" ref="T283:T293" si="122">S283/1.07</f>
        <v>17958.023999999998</v>
      </c>
      <c r="U283" s="259">
        <f>S283/15*5</f>
        <v>6405.0285599999997</v>
      </c>
      <c r="V283" s="39">
        <v>0.08</v>
      </c>
      <c r="W283" s="40">
        <v>44377</v>
      </c>
      <c r="X283" s="41">
        <f t="shared" ref="X283:X293" si="123">(YEAR(W283)-YEAR(E283))*12+MONTH(W283)-MONTH(E283)</f>
        <v>33</v>
      </c>
      <c r="Y283" s="42">
        <f t="shared" ref="Y283:Y293" si="124">X283/12</f>
        <v>2.75</v>
      </c>
    </row>
    <row r="284" spans="1:25" x14ac:dyDescent="0.2">
      <c r="A284" s="52"/>
      <c r="B284" s="281" t="s">
        <v>295</v>
      </c>
      <c r="C284" s="211" t="s">
        <v>294</v>
      </c>
      <c r="D284" s="90" t="s">
        <v>34</v>
      </c>
      <c r="E284" s="91">
        <v>43344</v>
      </c>
      <c r="F284" s="47">
        <v>19215.08568</v>
      </c>
      <c r="G284" s="47">
        <f t="shared" si="119"/>
        <v>1281.0057119999999</v>
      </c>
      <c r="H284" s="47">
        <v>5648</v>
      </c>
      <c r="I284" s="47">
        <f t="shared" si="120"/>
        <v>89670.399839999998</v>
      </c>
      <c r="J284" s="47">
        <v>0</v>
      </c>
      <c r="K284" s="49">
        <v>0</v>
      </c>
      <c r="L284" s="31"/>
      <c r="M284" s="461">
        <v>17791.745999999999</v>
      </c>
      <c r="N284" s="87">
        <f t="shared" ref="N284:N293" si="125">M284*(1+8%)</f>
        <v>19215.08568</v>
      </c>
      <c r="O284" s="34">
        <v>70</v>
      </c>
      <c r="P284" s="34"/>
      <c r="Q284" s="280">
        <v>43344</v>
      </c>
      <c r="R284" s="36">
        <v>0</v>
      </c>
      <c r="S284" s="103">
        <f t="shared" si="121"/>
        <v>19215.08568</v>
      </c>
      <c r="T284" s="38">
        <f t="shared" si="122"/>
        <v>17958.023999999998</v>
      </c>
      <c r="U284" s="259">
        <f t="shared" ref="U284:U293" si="126">S284/15*5</f>
        <v>6405.0285599999997</v>
      </c>
      <c r="V284" s="39">
        <v>0.08</v>
      </c>
      <c r="W284" s="40">
        <v>44377</v>
      </c>
      <c r="X284" s="41">
        <f t="shared" si="123"/>
        <v>33</v>
      </c>
      <c r="Y284" s="42">
        <f t="shared" si="124"/>
        <v>2.75</v>
      </c>
    </row>
    <row r="285" spans="1:25" x14ac:dyDescent="0.2">
      <c r="A285" s="52"/>
      <c r="B285" s="281" t="s">
        <v>296</v>
      </c>
      <c r="C285" s="211" t="s">
        <v>294</v>
      </c>
      <c r="D285" s="90" t="s">
        <v>34</v>
      </c>
      <c r="E285" s="91">
        <v>43344</v>
      </c>
      <c r="F285" s="47">
        <v>19215.08568</v>
      </c>
      <c r="G285" s="47">
        <f t="shared" si="119"/>
        <v>1281.0057119999999</v>
      </c>
      <c r="H285" s="47">
        <v>5648</v>
      </c>
      <c r="I285" s="47">
        <f t="shared" si="120"/>
        <v>89670.399839999998</v>
      </c>
      <c r="J285" s="47">
        <v>0</v>
      </c>
      <c r="K285" s="49">
        <v>0</v>
      </c>
      <c r="L285" s="31"/>
      <c r="M285" s="461">
        <v>17791.745999999999</v>
      </c>
      <c r="N285" s="87">
        <f t="shared" si="125"/>
        <v>19215.08568</v>
      </c>
      <c r="O285" s="34">
        <v>70</v>
      </c>
      <c r="P285" s="34"/>
      <c r="Q285" s="280">
        <v>43344</v>
      </c>
      <c r="R285" s="36">
        <v>0</v>
      </c>
      <c r="S285" s="103">
        <f t="shared" si="121"/>
        <v>19215.08568</v>
      </c>
      <c r="T285" s="38">
        <f t="shared" si="122"/>
        <v>17958.023999999998</v>
      </c>
      <c r="U285" s="259">
        <f t="shared" si="126"/>
        <v>6405.0285599999997</v>
      </c>
      <c r="V285" s="39">
        <v>0.08</v>
      </c>
      <c r="W285" s="40">
        <v>44377</v>
      </c>
      <c r="X285" s="41">
        <f t="shared" si="123"/>
        <v>33</v>
      </c>
      <c r="Y285" s="42">
        <f t="shared" si="124"/>
        <v>2.75</v>
      </c>
    </row>
    <row r="286" spans="1:25" x14ac:dyDescent="0.2">
      <c r="A286" s="52"/>
      <c r="B286" s="43" t="s">
        <v>297</v>
      </c>
      <c r="C286" s="211" t="s">
        <v>294</v>
      </c>
      <c r="D286" s="90" t="s">
        <v>34</v>
      </c>
      <c r="E286" s="91">
        <v>43344</v>
      </c>
      <c r="F286" s="47">
        <v>19215.08568</v>
      </c>
      <c r="G286" s="47">
        <f t="shared" si="119"/>
        <v>1281.0057119999999</v>
      </c>
      <c r="H286" s="47">
        <v>5648</v>
      </c>
      <c r="I286" s="47">
        <f t="shared" si="120"/>
        <v>89670.399839999998</v>
      </c>
      <c r="J286" s="47">
        <v>0</v>
      </c>
      <c r="K286" s="49">
        <v>0</v>
      </c>
      <c r="L286" s="31"/>
      <c r="M286" s="461">
        <v>17791.745999999999</v>
      </c>
      <c r="N286" s="87">
        <f t="shared" si="125"/>
        <v>19215.08568</v>
      </c>
      <c r="O286" s="34">
        <v>70</v>
      </c>
      <c r="P286" s="34"/>
      <c r="Q286" s="280">
        <v>43344</v>
      </c>
      <c r="R286" s="36">
        <v>0</v>
      </c>
      <c r="S286" s="103">
        <f t="shared" si="121"/>
        <v>19215.08568</v>
      </c>
      <c r="T286" s="38">
        <f t="shared" si="122"/>
        <v>17958.023999999998</v>
      </c>
      <c r="U286" s="259">
        <f t="shared" si="126"/>
        <v>6405.0285599999997</v>
      </c>
      <c r="V286" s="39">
        <v>0.08</v>
      </c>
      <c r="W286" s="40">
        <v>44377</v>
      </c>
      <c r="X286" s="41">
        <f t="shared" si="123"/>
        <v>33</v>
      </c>
      <c r="Y286" s="42">
        <f t="shared" si="124"/>
        <v>2.75</v>
      </c>
    </row>
    <row r="287" spans="1:25" x14ac:dyDescent="0.2">
      <c r="B287" s="104" t="s">
        <v>298</v>
      </c>
      <c r="C287" s="105" t="s">
        <v>299</v>
      </c>
      <c r="D287" s="45" t="s">
        <v>51</v>
      </c>
      <c r="E287" s="106">
        <v>42078</v>
      </c>
      <c r="F287" s="47">
        <v>5795.3340000000007</v>
      </c>
      <c r="G287" s="47">
        <f t="shared" si="119"/>
        <v>386.35560000000004</v>
      </c>
      <c r="H287" s="47"/>
      <c r="I287" s="47">
        <f t="shared" si="120"/>
        <v>27044.892000000003</v>
      </c>
      <c r="J287" s="47">
        <f>F287/15*P287</f>
        <v>7418.0275200000005</v>
      </c>
      <c r="K287" s="49">
        <f>F287/15*12+R287+R287</f>
        <v>5306.5871999999999</v>
      </c>
      <c r="L287" s="31"/>
      <c r="M287" s="462">
        <v>5366.05</v>
      </c>
      <c r="N287" s="87">
        <f t="shared" si="125"/>
        <v>5795.3340000000007</v>
      </c>
      <c r="O287" s="34">
        <v>70</v>
      </c>
      <c r="P287" s="34">
        <v>19.2</v>
      </c>
      <c r="Q287" s="35">
        <v>42078</v>
      </c>
      <c r="R287" s="36">
        <v>335.16</v>
      </c>
      <c r="S287" s="37">
        <f t="shared" si="121"/>
        <v>5795.3340000000007</v>
      </c>
      <c r="T287" s="38">
        <f t="shared" si="122"/>
        <v>5416.2000000000007</v>
      </c>
      <c r="U287" s="259">
        <f t="shared" si="126"/>
        <v>1931.7780000000002</v>
      </c>
      <c r="V287" s="39">
        <v>0.08</v>
      </c>
      <c r="W287" s="40">
        <v>44377</v>
      </c>
      <c r="X287" s="41">
        <f t="shared" si="123"/>
        <v>75</v>
      </c>
      <c r="Y287" s="42">
        <f t="shared" si="124"/>
        <v>6.25</v>
      </c>
    </row>
    <row r="288" spans="1:25" x14ac:dyDescent="0.2">
      <c r="A288" s="52"/>
      <c r="B288" s="88" t="s">
        <v>300</v>
      </c>
      <c r="C288" s="211" t="s">
        <v>294</v>
      </c>
      <c r="D288" s="90" t="s">
        <v>34</v>
      </c>
      <c r="E288" s="91">
        <v>43344</v>
      </c>
      <c r="F288" s="47">
        <v>19215.08568</v>
      </c>
      <c r="G288" s="47">
        <f t="shared" si="119"/>
        <v>1281.0057119999999</v>
      </c>
      <c r="H288" s="47">
        <v>5648</v>
      </c>
      <c r="I288" s="47">
        <f t="shared" si="120"/>
        <v>89670.399839999998</v>
      </c>
      <c r="J288" s="47">
        <v>0</v>
      </c>
      <c r="K288" s="49">
        <v>0</v>
      </c>
      <c r="L288" s="31"/>
      <c r="M288" s="461">
        <v>17791.745999999999</v>
      </c>
      <c r="N288" s="87">
        <f t="shared" si="125"/>
        <v>19215.08568</v>
      </c>
      <c r="O288" s="34">
        <v>70</v>
      </c>
      <c r="P288" s="34"/>
      <c r="Q288" s="280">
        <v>43344</v>
      </c>
      <c r="R288" s="36">
        <v>0</v>
      </c>
      <c r="S288" s="103">
        <f t="shared" si="121"/>
        <v>19215.08568</v>
      </c>
      <c r="T288" s="38">
        <f t="shared" si="122"/>
        <v>17958.023999999998</v>
      </c>
      <c r="U288" s="259">
        <f t="shared" si="126"/>
        <v>6405.0285599999997</v>
      </c>
      <c r="V288" s="39">
        <v>0.08</v>
      </c>
      <c r="W288" s="40">
        <v>44377</v>
      </c>
      <c r="X288" s="41">
        <f t="shared" si="123"/>
        <v>33</v>
      </c>
      <c r="Y288" s="42">
        <f t="shared" si="124"/>
        <v>2.75</v>
      </c>
    </row>
    <row r="289" spans="1:25" x14ac:dyDescent="0.2">
      <c r="A289" s="52"/>
      <c r="B289" s="88" t="s">
        <v>301</v>
      </c>
      <c r="C289" s="211" t="s">
        <v>294</v>
      </c>
      <c r="D289" s="90" t="s">
        <v>34</v>
      </c>
      <c r="E289" s="91">
        <v>43344</v>
      </c>
      <c r="F289" s="47">
        <v>19215.08568</v>
      </c>
      <c r="G289" s="47">
        <f t="shared" si="119"/>
        <v>1281.0057119999999</v>
      </c>
      <c r="H289" s="47">
        <v>5648</v>
      </c>
      <c r="I289" s="47">
        <f t="shared" si="120"/>
        <v>89670.399839999998</v>
      </c>
      <c r="J289" s="47">
        <v>0</v>
      </c>
      <c r="K289" s="49">
        <v>0</v>
      </c>
      <c r="L289" s="31"/>
      <c r="M289" s="461">
        <v>17791.745999999999</v>
      </c>
      <c r="N289" s="87">
        <f t="shared" si="125"/>
        <v>19215.08568</v>
      </c>
      <c r="O289" s="34">
        <v>70</v>
      </c>
      <c r="P289" s="34"/>
      <c r="Q289" s="280">
        <v>43344</v>
      </c>
      <c r="R289" s="36">
        <v>0</v>
      </c>
      <c r="S289" s="103">
        <f t="shared" si="121"/>
        <v>19215.08568</v>
      </c>
      <c r="T289" s="38">
        <f t="shared" si="122"/>
        <v>17958.023999999998</v>
      </c>
      <c r="U289" s="259">
        <f t="shared" si="126"/>
        <v>6405.0285599999997</v>
      </c>
      <c r="V289" s="39">
        <v>0.08</v>
      </c>
      <c r="W289" s="40">
        <v>44377</v>
      </c>
      <c r="X289" s="41">
        <f t="shared" si="123"/>
        <v>33</v>
      </c>
      <c r="Y289" s="42">
        <f t="shared" si="124"/>
        <v>2.75</v>
      </c>
    </row>
    <row r="290" spans="1:25" x14ac:dyDescent="0.2">
      <c r="A290" s="52"/>
      <c r="B290" s="88" t="s">
        <v>302</v>
      </c>
      <c r="C290" s="211" t="s">
        <v>294</v>
      </c>
      <c r="D290" s="90" t="s">
        <v>34</v>
      </c>
      <c r="E290" s="91">
        <v>43344</v>
      </c>
      <c r="F290" s="47">
        <v>19215.08568</v>
      </c>
      <c r="G290" s="47">
        <f t="shared" si="119"/>
        <v>1281.0057119999999</v>
      </c>
      <c r="H290" s="47">
        <v>5648</v>
      </c>
      <c r="I290" s="47">
        <f t="shared" si="120"/>
        <v>89670.399839999998</v>
      </c>
      <c r="J290" s="47">
        <v>0</v>
      </c>
      <c r="K290" s="49">
        <v>0</v>
      </c>
      <c r="L290" s="31"/>
      <c r="M290" s="461">
        <v>17791.745999999999</v>
      </c>
      <c r="N290" s="87">
        <f t="shared" si="125"/>
        <v>19215.08568</v>
      </c>
      <c r="O290" s="34">
        <v>70</v>
      </c>
      <c r="P290" s="34"/>
      <c r="Q290" s="280">
        <v>43344</v>
      </c>
      <c r="R290" s="36">
        <v>0</v>
      </c>
      <c r="S290" s="103">
        <f t="shared" si="121"/>
        <v>19215.08568</v>
      </c>
      <c r="T290" s="38">
        <f t="shared" si="122"/>
        <v>17958.023999999998</v>
      </c>
      <c r="U290" s="259">
        <f t="shared" si="126"/>
        <v>6405.0285599999997</v>
      </c>
      <c r="V290" s="39">
        <v>0.08</v>
      </c>
      <c r="W290" s="40">
        <v>44377</v>
      </c>
      <c r="X290" s="41">
        <f t="shared" si="123"/>
        <v>33</v>
      </c>
      <c r="Y290" s="42">
        <f t="shared" si="124"/>
        <v>2.75</v>
      </c>
    </row>
    <row r="291" spans="1:25" x14ac:dyDescent="0.2">
      <c r="A291" s="52"/>
      <c r="B291" s="164" t="s">
        <v>303</v>
      </c>
      <c r="C291" s="211" t="s">
        <v>294</v>
      </c>
      <c r="D291" s="90" t="s">
        <v>34</v>
      </c>
      <c r="E291" s="91">
        <v>43344</v>
      </c>
      <c r="F291" s="47">
        <v>19215.08568</v>
      </c>
      <c r="G291" s="47">
        <f t="shared" si="119"/>
        <v>1281.0057119999999</v>
      </c>
      <c r="H291" s="47">
        <v>5648</v>
      </c>
      <c r="I291" s="47">
        <f t="shared" si="120"/>
        <v>89670.399839999998</v>
      </c>
      <c r="J291" s="47">
        <v>0</v>
      </c>
      <c r="K291" s="49">
        <v>0</v>
      </c>
      <c r="L291" s="31"/>
      <c r="M291" s="461">
        <v>17791.745999999999</v>
      </c>
      <c r="N291" s="87">
        <f t="shared" si="125"/>
        <v>19215.08568</v>
      </c>
      <c r="O291" s="34">
        <v>70</v>
      </c>
      <c r="P291" s="34"/>
      <c r="Q291" s="280">
        <v>43344</v>
      </c>
      <c r="R291" s="36">
        <v>0</v>
      </c>
      <c r="S291" s="103">
        <f t="shared" si="121"/>
        <v>19215.08568</v>
      </c>
      <c r="T291" s="38">
        <f t="shared" si="122"/>
        <v>17958.023999999998</v>
      </c>
      <c r="U291" s="259">
        <f t="shared" si="126"/>
        <v>6405.0285599999997</v>
      </c>
      <c r="V291" s="39">
        <v>0.08</v>
      </c>
      <c r="W291" s="40">
        <v>44377</v>
      </c>
      <c r="X291" s="41">
        <f t="shared" si="123"/>
        <v>33</v>
      </c>
      <c r="Y291" s="42">
        <f t="shared" si="124"/>
        <v>2.75</v>
      </c>
    </row>
    <row r="292" spans="1:25" x14ac:dyDescent="0.2">
      <c r="A292" s="52"/>
      <c r="B292" s="43" t="s">
        <v>304</v>
      </c>
      <c r="C292" s="211" t="s">
        <v>294</v>
      </c>
      <c r="D292" s="90" t="s">
        <v>34</v>
      </c>
      <c r="E292" s="91">
        <v>43344</v>
      </c>
      <c r="F292" s="47">
        <v>19215.08568</v>
      </c>
      <c r="G292" s="47">
        <f t="shared" si="119"/>
        <v>1281.0057119999999</v>
      </c>
      <c r="H292" s="47">
        <v>5648</v>
      </c>
      <c r="I292" s="47">
        <f t="shared" si="120"/>
        <v>89670.399839999998</v>
      </c>
      <c r="J292" s="47">
        <v>0</v>
      </c>
      <c r="K292" s="49">
        <v>0</v>
      </c>
      <c r="L292" s="31"/>
      <c r="M292" s="461">
        <v>17791.745999999999</v>
      </c>
      <c r="N292" s="87">
        <f t="shared" si="125"/>
        <v>19215.08568</v>
      </c>
      <c r="O292" s="34">
        <v>70</v>
      </c>
      <c r="P292" s="34"/>
      <c r="Q292" s="280">
        <v>43344</v>
      </c>
      <c r="R292" s="36">
        <v>0</v>
      </c>
      <c r="S292" s="103">
        <f t="shared" si="121"/>
        <v>19215.08568</v>
      </c>
      <c r="T292" s="38">
        <f t="shared" si="122"/>
        <v>17958.023999999998</v>
      </c>
      <c r="U292" s="259">
        <f t="shared" si="126"/>
        <v>6405.0285599999997</v>
      </c>
      <c r="V292" s="39">
        <v>0.08</v>
      </c>
      <c r="W292" s="40">
        <v>44377</v>
      </c>
      <c r="X292" s="41">
        <f t="shared" si="123"/>
        <v>33</v>
      </c>
      <c r="Y292" s="42">
        <f t="shared" si="124"/>
        <v>2.75</v>
      </c>
    </row>
    <row r="293" spans="1:25" ht="13.5" thickBot="1" x14ac:dyDescent="0.25">
      <c r="A293" s="52"/>
      <c r="B293" s="53" t="s">
        <v>305</v>
      </c>
      <c r="C293" s="54" t="s">
        <v>294</v>
      </c>
      <c r="D293" s="94" t="s">
        <v>34</v>
      </c>
      <c r="E293" s="95">
        <v>43344</v>
      </c>
      <c r="F293" s="57">
        <v>19215.08568</v>
      </c>
      <c r="G293" s="57">
        <f t="shared" si="119"/>
        <v>1281.0057119999999</v>
      </c>
      <c r="H293" s="57">
        <v>5648</v>
      </c>
      <c r="I293" s="57">
        <f t="shared" si="120"/>
        <v>89670.399839999998</v>
      </c>
      <c r="J293" s="57">
        <v>0</v>
      </c>
      <c r="K293" s="58">
        <v>0</v>
      </c>
      <c r="L293" s="31"/>
      <c r="M293" s="461">
        <v>17791.745999999999</v>
      </c>
      <c r="N293" s="87">
        <f t="shared" si="125"/>
        <v>19215.08568</v>
      </c>
      <c r="O293" s="34">
        <v>70</v>
      </c>
      <c r="P293" s="34"/>
      <c r="Q293" s="280">
        <v>43344</v>
      </c>
      <c r="R293" s="36">
        <v>0</v>
      </c>
      <c r="S293" s="103">
        <f t="shared" si="121"/>
        <v>19215.08568</v>
      </c>
      <c r="T293" s="38">
        <f t="shared" si="122"/>
        <v>17958.023999999998</v>
      </c>
      <c r="U293" s="259">
        <f t="shared" si="126"/>
        <v>6405.0285599999997</v>
      </c>
      <c r="V293" s="39">
        <v>0.08</v>
      </c>
      <c r="W293" s="40">
        <v>44377</v>
      </c>
      <c r="X293" s="41">
        <f t="shared" si="123"/>
        <v>33</v>
      </c>
      <c r="Y293" s="42">
        <f t="shared" si="124"/>
        <v>2.75</v>
      </c>
    </row>
    <row r="294" spans="1:25" ht="13.5" thickBot="1" x14ac:dyDescent="0.25">
      <c r="D294" s="6"/>
      <c r="E294" s="62"/>
      <c r="F294" s="198"/>
      <c r="G294" s="198"/>
      <c r="H294" s="198"/>
      <c r="I294" s="198"/>
      <c r="J294" s="198"/>
      <c r="K294" s="199"/>
      <c r="N294" s="64"/>
      <c r="Q294" s="206"/>
      <c r="S294" s="84"/>
      <c r="V294" s="66"/>
      <c r="W294" s="67"/>
      <c r="X294" s="68"/>
    </row>
    <row r="295" spans="1:25" x14ac:dyDescent="0.2">
      <c r="B295" s="69" t="s">
        <v>39</v>
      </c>
      <c r="C295" s="69" t="s">
        <v>40</v>
      </c>
      <c r="D295" s="70"/>
      <c r="E295" s="71" t="s">
        <v>41</v>
      </c>
      <c r="F295" s="72">
        <f t="shared" ref="F295:K295" si="127">SUM(F283:F293)</f>
        <v>197946.19079999998</v>
      </c>
      <c r="G295" s="72">
        <f t="shared" si="127"/>
        <v>13196.41272</v>
      </c>
      <c r="H295" s="72">
        <f t="shared" si="127"/>
        <v>56480</v>
      </c>
      <c r="I295" s="72">
        <f t="shared" si="127"/>
        <v>923748.8903999998</v>
      </c>
      <c r="J295" s="72">
        <f t="shared" si="127"/>
        <v>7418.0275200000005</v>
      </c>
      <c r="K295" s="197">
        <f t="shared" si="127"/>
        <v>5306.5871999999999</v>
      </c>
      <c r="L295" s="73"/>
      <c r="M295" s="5" t="s">
        <v>42</v>
      </c>
      <c r="N295" s="64"/>
      <c r="Q295" s="206"/>
      <c r="S295" s="84"/>
      <c r="V295" s="66"/>
      <c r="W295" s="67"/>
      <c r="X295" s="68"/>
    </row>
    <row r="296" spans="1:25" ht="19.5" customHeight="1" thickBot="1" x14ac:dyDescent="0.25">
      <c r="B296" s="69" t="s">
        <v>43</v>
      </c>
      <c r="C296" s="69" t="s">
        <v>44</v>
      </c>
      <c r="E296" s="232" t="s">
        <v>46</v>
      </c>
      <c r="F296" s="75">
        <f>F295*24</f>
        <v>4750708.5791999996</v>
      </c>
      <c r="G296" s="75">
        <f>G295*5</f>
        <v>65982.063599999994</v>
      </c>
      <c r="H296" s="75">
        <f>H295*24</f>
        <v>1355520</v>
      </c>
      <c r="I296" s="75">
        <f>I295</f>
        <v>923748.8903999998</v>
      </c>
      <c r="J296" s="75">
        <f>J295</f>
        <v>7418.0275200000005</v>
      </c>
      <c r="K296" s="76">
        <f>K295</f>
        <v>5306.5871999999999</v>
      </c>
      <c r="L296" s="73"/>
      <c r="M296" s="77">
        <f>SUM(F296:K296)</f>
        <v>7108684.1479199994</v>
      </c>
      <c r="N296" s="78"/>
      <c r="O296" s="80"/>
      <c r="P296" s="80"/>
      <c r="Q296" s="282"/>
      <c r="R296" s="81">
        <f>SUM(R283:R293)</f>
        <v>335.16</v>
      </c>
      <c r="S296" s="103">
        <f>M296*(1+V296)</f>
        <v>7677378.8797535999</v>
      </c>
      <c r="T296" s="77"/>
      <c r="U296" s="177">
        <f>SUM(U283:U293)</f>
        <v>65982.063599999994</v>
      </c>
      <c r="V296" s="82">
        <v>0.08</v>
      </c>
      <c r="W296" s="83"/>
      <c r="X296" s="178"/>
      <c r="Y296" s="179"/>
    </row>
    <row r="297" spans="1:25" ht="13.5" customHeight="1" x14ac:dyDescent="0.2">
      <c r="B297" s="69"/>
      <c r="E297" s="243"/>
      <c r="F297" s="73"/>
      <c r="G297" s="73"/>
      <c r="H297" s="73"/>
      <c r="I297" s="73"/>
      <c r="J297" s="73"/>
      <c r="K297" s="244"/>
      <c r="L297" s="73"/>
      <c r="N297" s="64"/>
      <c r="Q297" s="206"/>
      <c r="S297" s="84"/>
      <c r="V297" s="66"/>
      <c r="W297" s="67"/>
      <c r="X297" s="68"/>
    </row>
    <row r="298" spans="1:25" ht="12.75" customHeight="1" x14ac:dyDescent="0.25">
      <c r="B298" s="13"/>
      <c r="C298" s="13"/>
      <c r="D298" s="13" t="s">
        <v>639</v>
      </c>
      <c r="E298" s="13"/>
      <c r="F298" s="13"/>
      <c r="G298" s="13"/>
      <c r="H298" s="13"/>
      <c r="I298" s="14"/>
      <c r="J298" s="13"/>
      <c r="K298" s="13"/>
      <c r="L298" s="15"/>
      <c r="N298" s="64"/>
      <c r="S298" s="84"/>
      <c r="V298" s="66"/>
      <c r="W298" s="67"/>
      <c r="X298" s="68"/>
    </row>
    <row r="299" spans="1:25" ht="12.6" customHeight="1" x14ac:dyDescent="0.25">
      <c r="B299" s="16" t="s">
        <v>4</v>
      </c>
      <c r="C299" s="16"/>
      <c r="D299" s="13" t="s">
        <v>306</v>
      </c>
      <c r="E299" s="13"/>
      <c r="F299" s="14"/>
      <c r="G299" s="14"/>
      <c r="H299" s="476"/>
      <c r="I299" s="476"/>
      <c r="J299" s="14"/>
      <c r="K299" s="17"/>
      <c r="L299" s="18"/>
      <c r="N299" s="64"/>
      <c r="S299" s="84"/>
      <c r="V299" s="66"/>
      <c r="W299" s="67"/>
      <c r="X299" s="68"/>
    </row>
    <row r="300" spans="1:25" ht="12.6" customHeight="1" thickBot="1" x14ac:dyDescent="0.25">
      <c r="B300" s="19"/>
      <c r="C300" s="19"/>
      <c r="D300" s="19"/>
      <c r="E300" s="19"/>
      <c r="F300" s="20"/>
      <c r="G300" s="20"/>
      <c r="H300" s="20"/>
      <c r="I300" s="20"/>
      <c r="J300" s="20"/>
      <c r="K300" s="22"/>
      <c r="L300" s="19"/>
      <c r="N300" s="64"/>
      <c r="S300" s="84"/>
      <c r="V300" s="66"/>
      <c r="W300" s="67"/>
      <c r="X300" s="68"/>
    </row>
    <row r="301" spans="1:25" ht="12.6" customHeight="1" x14ac:dyDescent="0.2">
      <c r="B301" s="477" t="s">
        <v>6</v>
      </c>
      <c r="C301" s="479" t="s">
        <v>7</v>
      </c>
      <c r="D301" s="479" t="s">
        <v>8</v>
      </c>
      <c r="E301" s="479" t="s">
        <v>9</v>
      </c>
      <c r="F301" s="481" t="s">
        <v>10</v>
      </c>
      <c r="G301" s="483" t="s">
        <v>11</v>
      </c>
      <c r="H301" s="481" t="s">
        <v>12</v>
      </c>
      <c r="I301" s="479" t="s">
        <v>13</v>
      </c>
      <c r="J301" s="479" t="s">
        <v>14</v>
      </c>
      <c r="K301" s="493" t="s">
        <v>15</v>
      </c>
      <c r="L301" s="23"/>
      <c r="M301" s="495" t="s">
        <v>16</v>
      </c>
      <c r="N301" s="495" t="s">
        <v>17</v>
      </c>
      <c r="O301" s="489" t="s">
        <v>18</v>
      </c>
      <c r="P301" s="489" t="s">
        <v>19</v>
      </c>
      <c r="Q301" s="489" t="s">
        <v>20</v>
      </c>
      <c r="R301" s="490" t="s">
        <v>21</v>
      </c>
      <c r="S301" s="495" t="s">
        <v>22</v>
      </c>
      <c r="T301" s="495" t="s">
        <v>16</v>
      </c>
      <c r="U301" s="498" t="s">
        <v>23</v>
      </c>
      <c r="V301" s="498" t="s">
        <v>24</v>
      </c>
      <c r="W301" s="489" t="s">
        <v>25</v>
      </c>
      <c r="X301" s="489" t="s">
        <v>26</v>
      </c>
      <c r="Y301" s="497" t="s">
        <v>27</v>
      </c>
    </row>
    <row r="302" spans="1:25" ht="12.6" customHeight="1" thickBot="1" x14ac:dyDescent="0.25">
      <c r="B302" s="478"/>
      <c r="C302" s="480"/>
      <c r="D302" s="480"/>
      <c r="E302" s="480"/>
      <c r="F302" s="482"/>
      <c r="G302" s="484"/>
      <c r="H302" s="482"/>
      <c r="I302" s="480"/>
      <c r="J302" s="480"/>
      <c r="K302" s="494"/>
      <c r="L302" s="23"/>
      <c r="M302" s="495"/>
      <c r="N302" s="495"/>
      <c r="O302" s="489"/>
      <c r="P302" s="489"/>
      <c r="Q302" s="489"/>
      <c r="R302" s="490"/>
      <c r="S302" s="495"/>
      <c r="T302" s="495"/>
      <c r="U302" s="498"/>
      <c r="V302" s="498"/>
      <c r="W302" s="489"/>
      <c r="X302" s="489"/>
      <c r="Y302" s="497"/>
    </row>
    <row r="303" spans="1:25" ht="10.5" customHeight="1" thickBot="1" x14ac:dyDescent="0.25">
      <c r="B303" s="97"/>
      <c r="D303" s="6"/>
      <c r="F303" s="98"/>
      <c r="G303" s="100"/>
      <c r="H303" s="98"/>
      <c r="I303" s="100"/>
      <c r="J303" s="100"/>
      <c r="K303" s="180"/>
      <c r="N303" s="64"/>
      <c r="S303" s="84"/>
      <c r="V303" s="66"/>
      <c r="W303" s="67"/>
      <c r="X303" s="68"/>
    </row>
    <row r="304" spans="1:25" ht="12.75" customHeight="1" x14ac:dyDescent="0.2">
      <c r="A304" s="52"/>
      <c r="B304" s="25" t="s">
        <v>307</v>
      </c>
      <c r="C304" s="26" t="s">
        <v>308</v>
      </c>
      <c r="D304" s="27" t="s">
        <v>30</v>
      </c>
      <c r="E304" s="28">
        <v>43375</v>
      </c>
      <c r="F304" s="29">
        <v>3068.9731440000005</v>
      </c>
      <c r="G304" s="29">
        <f t="shared" ref="G304:G321" si="128">F304/15</f>
        <v>204.59820960000005</v>
      </c>
      <c r="H304" s="29"/>
      <c r="I304" s="29">
        <f t="shared" ref="I304:I321" si="129">F304/15*O304</f>
        <v>14321.874672000004</v>
      </c>
      <c r="J304" s="29">
        <f t="shared" ref="J304:J321" si="130">F304/15*P304</f>
        <v>2946.2142182400007</v>
      </c>
      <c r="K304" s="30"/>
      <c r="L304" s="235"/>
      <c r="M304" s="459">
        <v>2841.6418000000003</v>
      </c>
      <c r="N304" s="87">
        <f>M304*(1+8%)</f>
        <v>3068.9731440000005</v>
      </c>
      <c r="O304" s="34">
        <v>70</v>
      </c>
      <c r="P304" s="34">
        <v>14.4</v>
      </c>
      <c r="Q304" s="35">
        <v>43375</v>
      </c>
      <c r="R304" s="441">
        <v>0</v>
      </c>
      <c r="S304" s="60">
        <f t="shared" ref="S304:S321" si="131">M304*(1+V304)</f>
        <v>3068.9731440000005</v>
      </c>
      <c r="T304" s="61">
        <f>S304/1.08</f>
        <v>2841.6418000000003</v>
      </c>
      <c r="U304" s="236">
        <f>S304/15*5</f>
        <v>1022.9910480000002</v>
      </c>
      <c r="V304" s="39">
        <v>0.08</v>
      </c>
      <c r="W304" s="40">
        <v>44377</v>
      </c>
      <c r="X304" s="41">
        <f t="shared" ref="X304:X321" si="132">(YEAR(W304)-YEAR(E304))*12+MONTH(W304)-MONTH(E304)</f>
        <v>32</v>
      </c>
      <c r="Y304" s="42">
        <f t="shared" ref="Y304:Y321" si="133">X304/12</f>
        <v>2.6666666666666665</v>
      </c>
    </row>
    <row r="305" spans="1:25" ht="12.75" customHeight="1" x14ac:dyDescent="0.2">
      <c r="A305" s="52"/>
      <c r="B305" s="104" t="s">
        <v>309</v>
      </c>
      <c r="C305" s="211" t="s">
        <v>86</v>
      </c>
      <c r="D305" s="45" t="s">
        <v>30</v>
      </c>
      <c r="E305" s="106">
        <v>40942</v>
      </c>
      <c r="F305" s="47">
        <v>1032.4708200000002</v>
      </c>
      <c r="G305" s="47">
        <f t="shared" si="128"/>
        <v>68.831388000000018</v>
      </c>
      <c r="H305" s="47"/>
      <c r="I305" s="47">
        <f t="shared" si="129"/>
        <v>4818.1971600000015</v>
      </c>
      <c r="J305" s="47">
        <f t="shared" si="130"/>
        <v>1321.5626496000002</v>
      </c>
      <c r="K305" s="49">
        <f>F305/15*12+R305+R305</f>
        <v>1496.2966560000004</v>
      </c>
      <c r="L305" s="31"/>
      <c r="M305" s="459">
        <v>955.99150000000009</v>
      </c>
      <c r="N305" s="87">
        <f t="shared" ref="N305:N310" si="134">M305*(1+8%)</f>
        <v>1032.4708200000002</v>
      </c>
      <c r="O305" s="34">
        <v>70</v>
      </c>
      <c r="P305" s="34">
        <v>19.2</v>
      </c>
      <c r="Q305" s="35">
        <v>40942</v>
      </c>
      <c r="R305" s="441">
        <v>335.16</v>
      </c>
      <c r="S305" s="60">
        <f t="shared" si="131"/>
        <v>1032.4708200000002</v>
      </c>
      <c r="T305" s="61">
        <f t="shared" ref="T305:T321" si="135">S305/1.08</f>
        <v>955.9915000000002</v>
      </c>
      <c r="U305" s="236">
        <f t="shared" ref="U305:U321" si="136">S305/15*5</f>
        <v>344.15694000000008</v>
      </c>
      <c r="V305" s="39">
        <v>0.08</v>
      </c>
      <c r="W305" s="40">
        <v>44377</v>
      </c>
      <c r="X305" s="41">
        <f t="shared" si="132"/>
        <v>112</v>
      </c>
      <c r="Y305" s="42">
        <f t="shared" si="133"/>
        <v>9.3333333333333339</v>
      </c>
    </row>
    <row r="306" spans="1:25" ht="12.75" customHeight="1" x14ac:dyDescent="0.2">
      <c r="A306" s="52"/>
      <c r="B306" s="104" t="s">
        <v>310</v>
      </c>
      <c r="C306" s="211" t="s">
        <v>311</v>
      </c>
      <c r="D306" s="45" t="s">
        <v>30</v>
      </c>
      <c r="E306" s="106">
        <v>43360</v>
      </c>
      <c r="F306" s="47">
        <v>6879.8414880000018</v>
      </c>
      <c r="G306" s="47">
        <f t="shared" si="128"/>
        <v>458.65609920000014</v>
      </c>
      <c r="H306" s="47"/>
      <c r="I306" s="47">
        <f t="shared" si="129"/>
        <v>32105.92694400001</v>
      </c>
      <c r="J306" s="47">
        <f t="shared" si="130"/>
        <v>6604.6478284800023</v>
      </c>
      <c r="K306" s="49"/>
      <c r="L306" s="31"/>
      <c r="M306" s="459">
        <v>6370.2236000000012</v>
      </c>
      <c r="N306" s="87">
        <f t="shared" si="134"/>
        <v>6879.8414880000018</v>
      </c>
      <c r="O306" s="34">
        <v>70</v>
      </c>
      <c r="P306" s="34">
        <v>14.4</v>
      </c>
      <c r="Q306" s="35">
        <v>43360</v>
      </c>
      <c r="R306" s="441">
        <v>0</v>
      </c>
      <c r="S306" s="60">
        <f t="shared" si="131"/>
        <v>6879.8414880000018</v>
      </c>
      <c r="T306" s="61">
        <f t="shared" si="135"/>
        <v>6370.2236000000012</v>
      </c>
      <c r="U306" s="236">
        <f t="shared" si="136"/>
        <v>2293.2804960000008</v>
      </c>
      <c r="V306" s="39">
        <v>0.08</v>
      </c>
      <c r="W306" s="40">
        <v>44377</v>
      </c>
      <c r="X306" s="41">
        <f t="shared" si="132"/>
        <v>33</v>
      </c>
      <c r="Y306" s="42">
        <f t="shared" si="133"/>
        <v>2.75</v>
      </c>
    </row>
    <row r="307" spans="1:25" ht="12.75" customHeight="1" x14ac:dyDescent="0.2">
      <c r="A307" s="52"/>
      <c r="B307" s="104" t="s">
        <v>312</v>
      </c>
      <c r="C307" s="211" t="s">
        <v>313</v>
      </c>
      <c r="D307" s="45" t="s">
        <v>30</v>
      </c>
      <c r="E307" s="106">
        <v>43349</v>
      </c>
      <c r="F307" s="47">
        <v>4945.9680000000008</v>
      </c>
      <c r="G307" s="47">
        <f t="shared" si="128"/>
        <v>329.73120000000006</v>
      </c>
      <c r="H307" s="47"/>
      <c r="I307" s="47">
        <f t="shared" si="129"/>
        <v>23081.184000000005</v>
      </c>
      <c r="J307" s="47">
        <f t="shared" si="130"/>
        <v>4748.129280000001</v>
      </c>
      <c r="K307" s="49"/>
      <c r="L307" s="31"/>
      <c r="M307" s="459">
        <v>4579.6000000000004</v>
      </c>
      <c r="N307" s="87">
        <f t="shared" si="134"/>
        <v>4945.9680000000008</v>
      </c>
      <c r="O307" s="34">
        <v>70</v>
      </c>
      <c r="P307" s="34">
        <v>14.4</v>
      </c>
      <c r="Q307" s="35">
        <v>43349</v>
      </c>
      <c r="R307" s="441">
        <v>0</v>
      </c>
      <c r="S307" s="60">
        <f t="shared" si="131"/>
        <v>4945.9680000000008</v>
      </c>
      <c r="T307" s="61">
        <f t="shared" si="135"/>
        <v>4579.6000000000004</v>
      </c>
      <c r="U307" s="236">
        <f t="shared" si="136"/>
        <v>1648.6560000000004</v>
      </c>
      <c r="V307" s="39">
        <v>0.08</v>
      </c>
      <c r="W307" s="40">
        <v>44377</v>
      </c>
      <c r="X307" s="41">
        <f t="shared" si="132"/>
        <v>33</v>
      </c>
      <c r="Y307" s="42">
        <f t="shared" si="133"/>
        <v>2.75</v>
      </c>
    </row>
    <row r="308" spans="1:25" ht="12.75" customHeight="1" x14ac:dyDescent="0.2">
      <c r="A308" s="52"/>
      <c r="B308" s="104" t="s">
        <v>314</v>
      </c>
      <c r="C308" s="211" t="s">
        <v>315</v>
      </c>
      <c r="D308" s="45" t="s">
        <v>30</v>
      </c>
      <c r="E308" s="106">
        <v>43368</v>
      </c>
      <c r="F308" s="47">
        <v>4945.9680000000008</v>
      </c>
      <c r="G308" s="47">
        <f t="shared" si="128"/>
        <v>329.73120000000006</v>
      </c>
      <c r="H308" s="47"/>
      <c r="I308" s="47">
        <f t="shared" si="129"/>
        <v>23081.184000000005</v>
      </c>
      <c r="J308" s="47">
        <f t="shared" si="130"/>
        <v>4748.129280000001</v>
      </c>
      <c r="K308" s="49"/>
      <c r="L308" s="31"/>
      <c r="M308" s="459">
        <v>4579.6000000000004</v>
      </c>
      <c r="N308" s="87">
        <f t="shared" si="134"/>
        <v>4945.9680000000008</v>
      </c>
      <c r="O308" s="34">
        <v>70</v>
      </c>
      <c r="P308" s="34">
        <v>14.4</v>
      </c>
      <c r="Q308" s="35">
        <v>43368</v>
      </c>
      <c r="R308" s="441">
        <v>0</v>
      </c>
      <c r="S308" s="60">
        <f t="shared" si="131"/>
        <v>4945.9680000000008</v>
      </c>
      <c r="T308" s="61">
        <f t="shared" si="135"/>
        <v>4579.6000000000004</v>
      </c>
      <c r="U308" s="236">
        <f t="shared" si="136"/>
        <v>1648.6560000000004</v>
      </c>
      <c r="V308" s="39">
        <v>0.08</v>
      </c>
      <c r="W308" s="40">
        <v>44377</v>
      </c>
      <c r="X308" s="41">
        <f t="shared" si="132"/>
        <v>33</v>
      </c>
      <c r="Y308" s="42">
        <f t="shared" si="133"/>
        <v>2.75</v>
      </c>
    </row>
    <row r="309" spans="1:25" ht="12.75" customHeight="1" x14ac:dyDescent="0.2">
      <c r="A309" s="52"/>
      <c r="B309" s="210" t="s">
        <v>316</v>
      </c>
      <c r="C309" s="211" t="s">
        <v>317</v>
      </c>
      <c r="D309" s="45" t="s">
        <v>34</v>
      </c>
      <c r="E309" s="106">
        <v>43344</v>
      </c>
      <c r="F309" s="47">
        <v>6879.8414880000018</v>
      </c>
      <c r="G309" s="47">
        <f t="shared" si="128"/>
        <v>458.65609920000014</v>
      </c>
      <c r="H309" s="47"/>
      <c r="I309" s="47">
        <f t="shared" si="129"/>
        <v>32105.92694400001</v>
      </c>
      <c r="J309" s="47">
        <f t="shared" si="130"/>
        <v>6604.6478284800023</v>
      </c>
      <c r="K309" s="49"/>
      <c r="L309" s="31"/>
      <c r="M309" s="459">
        <v>6370.2236000000012</v>
      </c>
      <c r="N309" s="87">
        <f t="shared" si="134"/>
        <v>6879.8414880000018</v>
      </c>
      <c r="O309" s="34">
        <v>70</v>
      </c>
      <c r="P309" s="34">
        <v>14.4</v>
      </c>
      <c r="Q309" s="35">
        <v>43344</v>
      </c>
      <c r="R309" s="441">
        <v>0</v>
      </c>
      <c r="S309" s="60">
        <f t="shared" si="131"/>
        <v>6879.8414880000018</v>
      </c>
      <c r="T309" s="61">
        <f t="shared" si="135"/>
        <v>6370.2236000000012</v>
      </c>
      <c r="U309" s="236">
        <f t="shared" si="136"/>
        <v>2293.2804960000008</v>
      </c>
      <c r="V309" s="39">
        <v>0.08</v>
      </c>
      <c r="W309" s="40">
        <v>44377</v>
      </c>
      <c r="X309" s="41">
        <f t="shared" si="132"/>
        <v>33</v>
      </c>
      <c r="Y309" s="42">
        <f t="shared" si="133"/>
        <v>2.75</v>
      </c>
    </row>
    <row r="310" spans="1:25" ht="12.75" customHeight="1" x14ac:dyDescent="0.2">
      <c r="A310" s="52"/>
      <c r="B310" s="104" t="s">
        <v>318</v>
      </c>
      <c r="C310" s="211" t="s">
        <v>61</v>
      </c>
      <c r="D310" s="45" t="s">
        <v>30</v>
      </c>
      <c r="E310" s="106">
        <v>43480</v>
      </c>
      <c r="F310" s="47">
        <v>3466.8</v>
      </c>
      <c r="G310" s="47">
        <f t="shared" si="128"/>
        <v>231.12</v>
      </c>
      <c r="H310" s="47"/>
      <c r="I310" s="47">
        <f t="shared" si="129"/>
        <v>16178.4</v>
      </c>
      <c r="J310" s="47">
        <f t="shared" si="130"/>
        <v>3328.1280000000002</v>
      </c>
      <c r="K310" s="49"/>
      <c r="L310" s="31"/>
      <c r="M310" s="459">
        <v>3210</v>
      </c>
      <c r="N310" s="87">
        <f t="shared" si="134"/>
        <v>3466.8</v>
      </c>
      <c r="O310" s="34">
        <v>70</v>
      </c>
      <c r="P310" s="34">
        <v>14.4</v>
      </c>
      <c r="Q310" s="35">
        <v>43480</v>
      </c>
      <c r="R310" s="441">
        <v>0</v>
      </c>
      <c r="S310" s="60">
        <f t="shared" si="131"/>
        <v>3466.8</v>
      </c>
      <c r="T310" s="61">
        <f t="shared" si="135"/>
        <v>3210</v>
      </c>
      <c r="U310" s="236">
        <f t="shared" si="136"/>
        <v>1155.5999999999999</v>
      </c>
      <c r="V310" s="39">
        <v>0.08</v>
      </c>
      <c r="W310" s="40">
        <v>44377</v>
      </c>
      <c r="X310" s="41">
        <f t="shared" si="132"/>
        <v>29</v>
      </c>
      <c r="Y310" s="42">
        <f t="shared" si="133"/>
        <v>2.4166666666666665</v>
      </c>
    </row>
    <row r="311" spans="1:25" s="130" customFormat="1" ht="12.75" customHeight="1" x14ac:dyDescent="0.2">
      <c r="A311" s="283"/>
      <c r="B311" s="131" t="s">
        <v>319</v>
      </c>
      <c r="C311" s="284" t="s">
        <v>320</v>
      </c>
      <c r="D311" s="133" t="s">
        <v>30</v>
      </c>
      <c r="E311" s="134">
        <v>44145</v>
      </c>
      <c r="F311" s="147">
        <v>2773.44</v>
      </c>
      <c r="G311" s="147">
        <f t="shared" si="128"/>
        <v>184.89600000000002</v>
      </c>
      <c r="H311" s="147"/>
      <c r="I311" s="147">
        <f t="shared" si="129"/>
        <v>12942.720000000001</v>
      </c>
      <c r="J311" s="147">
        <f t="shared" si="130"/>
        <v>2662.5024000000003</v>
      </c>
      <c r="K311" s="148"/>
      <c r="L311" s="138"/>
      <c r="M311" s="459">
        <v>2568</v>
      </c>
      <c r="N311" s="87">
        <f>M311*(1+8%)</f>
        <v>2773.44</v>
      </c>
      <c r="O311" s="140">
        <v>70</v>
      </c>
      <c r="P311" s="140">
        <v>14.4</v>
      </c>
      <c r="Q311" s="134">
        <v>44145</v>
      </c>
      <c r="R311" s="442">
        <v>0</v>
      </c>
      <c r="S311" s="60">
        <f t="shared" si="131"/>
        <v>2773.44</v>
      </c>
      <c r="T311" s="61">
        <f t="shared" si="135"/>
        <v>2568</v>
      </c>
      <c r="U311" s="236">
        <f t="shared" si="136"/>
        <v>924.48</v>
      </c>
      <c r="V311" s="39">
        <v>0.08</v>
      </c>
      <c r="W311" s="144">
        <v>44377</v>
      </c>
      <c r="X311" s="145">
        <f t="shared" si="132"/>
        <v>7</v>
      </c>
      <c r="Y311" s="146">
        <f t="shared" si="133"/>
        <v>0.58333333333333337</v>
      </c>
    </row>
    <row r="312" spans="1:25" x14ac:dyDescent="0.2">
      <c r="B312" s="43" t="s">
        <v>321</v>
      </c>
      <c r="C312" s="211" t="s">
        <v>322</v>
      </c>
      <c r="D312" s="45" t="s">
        <v>34</v>
      </c>
      <c r="E312" s="46">
        <v>43344</v>
      </c>
      <c r="F312" s="47">
        <v>8655.4440000000013</v>
      </c>
      <c r="G312" s="47">
        <f t="shared" si="128"/>
        <v>577.02960000000007</v>
      </c>
      <c r="H312" s="48"/>
      <c r="I312" s="47">
        <f t="shared" si="129"/>
        <v>40392.072000000007</v>
      </c>
      <c r="J312" s="47">
        <f t="shared" si="130"/>
        <v>8309.2262400000018</v>
      </c>
      <c r="K312" s="49"/>
      <c r="L312" s="50"/>
      <c r="M312" s="459">
        <v>8014.3</v>
      </c>
      <c r="N312" s="87">
        <f t="shared" ref="N312:N321" si="137">M312*(1+8%)</f>
        <v>8655.4440000000013</v>
      </c>
      <c r="O312" s="34">
        <v>70</v>
      </c>
      <c r="P312" s="34">
        <v>14.4</v>
      </c>
      <c r="Q312" s="51">
        <v>43344</v>
      </c>
      <c r="R312" s="441">
        <v>0</v>
      </c>
      <c r="S312" s="60">
        <f t="shared" si="131"/>
        <v>8655.4440000000013</v>
      </c>
      <c r="T312" s="61">
        <f t="shared" si="135"/>
        <v>8014.3000000000011</v>
      </c>
      <c r="U312" s="236">
        <f t="shared" si="136"/>
        <v>2885.1480000000001</v>
      </c>
      <c r="V312" s="39">
        <v>0.08</v>
      </c>
      <c r="W312" s="40">
        <v>44377</v>
      </c>
      <c r="X312" s="41">
        <f t="shared" si="132"/>
        <v>33</v>
      </c>
      <c r="Y312" s="42">
        <f t="shared" si="133"/>
        <v>2.75</v>
      </c>
    </row>
    <row r="313" spans="1:25" ht="12.75" customHeight="1" x14ac:dyDescent="0.2">
      <c r="A313" s="52"/>
      <c r="B313" s="104" t="s">
        <v>323</v>
      </c>
      <c r="C313" s="211" t="s">
        <v>324</v>
      </c>
      <c r="D313" s="45" t="s">
        <v>30</v>
      </c>
      <c r="E313" s="106">
        <v>43347</v>
      </c>
      <c r="F313" s="47">
        <v>4945.9680000000008</v>
      </c>
      <c r="G313" s="47">
        <f t="shared" si="128"/>
        <v>329.73120000000006</v>
      </c>
      <c r="H313" s="47"/>
      <c r="I313" s="47">
        <f t="shared" si="129"/>
        <v>23081.184000000005</v>
      </c>
      <c r="J313" s="47">
        <f t="shared" si="130"/>
        <v>4748.129280000001</v>
      </c>
      <c r="K313" s="49"/>
      <c r="L313" s="31"/>
      <c r="M313" s="459">
        <v>4579.6000000000004</v>
      </c>
      <c r="N313" s="87">
        <f t="shared" si="137"/>
        <v>4945.9680000000008</v>
      </c>
      <c r="O313" s="34">
        <v>70</v>
      </c>
      <c r="P313" s="34">
        <v>14.4</v>
      </c>
      <c r="Q313" s="35">
        <v>43347</v>
      </c>
      <c r="R313" s="441">
        <v>0</v>
      </c>
      <c r="S313" s="60">
        <f t="shared" si="131"/>
        <v>4945.9680000000008</v>
      </c>
      <c r="T313" s="61">
        <f t="shared" si="135"/>
        <v>4579.6000000000004</v>
      </c>
      <c r="U313" s="236">
        <f t="shared" si="136"/>
        <v>1648.6560000000004</v>
      </c>
      <c r="V313" s="39">
        <v>0.08</v>
      </c>
      <c r="W313" s="40">
        <v>44377</v>
      </c>
      <c r="X313" s="41">
        <f t="shared" si="132"/>
        <v>33</v>
      </c>
      <c r="Y313" s="42">
        <f t="shared" si="133"/>
        <v>2.75</v>
      </c>
    </row>
    <row r="314" spans="1:25" ht="12.75" customHeight="1" x14ac:dyDescent="0.2">
      <c r="A314" s="52"/>
      <c r="B314" s="104" t="s">
        <v>325</v>
      </c>
      <c r="C314" s="211" t="s">
        <v>326</v>
      </c>
      <c r="D314" s="45" t="s">
        <v>30</v>
      </c>
      <c r="E314" s="106">
        <v>43353</v>
      </c>
      <c r="F314" s="47">
        <v>4945.9680000000008</v>
      </c>
      <c r="G314" s="47">
        <f t="shared" si="128"/>
        <v>329.73120000000006</v>
      </c>
      <c r="H314" s="47"/>
      <c r="I314" s="47">
        <f t="shared" si="129"/>
        <v>23081.184000000005</v>
      </c>
      <c r="J314" s="47">
        <f t="shared" si="130"/>
        <v>4748.129280000001</v>
      </c>
      <c r="K314" s="49"/>
      <c r="L314" s="31"/>
      <c r="M314" s="459">
        <v>4579.6000000000004</v>
      </c>
      <c r="N314" s="87">
        <f t="shared" si="137"/>
        <v>4945.9680000000008</v>
      </c>
      <c r="O314" s="34">
        <v>70</v>
      </c>
      <c r="P314" s="34">
        <v>14.4</v>
      </c>
      <c r="Q314" s="35">
        <v>43353</v>
      </c>
      <c r="R314" s="441">
        <v>0</v>
      </c>
      <c r="S314" s="60">
        <f t="shared" si="131"/>
        <v>4945.9680000000008</v>
      </c>
      <c r="T314" s="61">
        <f t="shared" si="135"/>
        <v>4579.6000000000004</v>
      </c>
      <c r="U314" s="236">
        <f t="shared" si="136"/>
        <v>1648.6560000000004</v>
      </c>
      <c r="V314" s="39">
        <v>0.08</v>
      </c>
      <c r="W314" s="40">
        <v>44377</v>
      </c>
      <c r="X314" s="41">
        <f t="shared" si="132"/>
        <v>33</v>
      </c>
      <c r="Y314" s="42">
        <f t="shared" si="133"/>
        <v>2.75</v>
      </c>
    </row>
    <row r="315" spans="1:25" ht="12.75" customHeight="1" x14ac:dyDescent="0.2">
      <c r="A315" s="52"/>
      <c r="B315" s="104" t="s">
        <v>327</v>
      </c>
      <c r="C315" s="211" t="s">
        <v>328</v>
      </c>
      <c r="D315" s="45" t="s">
        <v>30</v>
      </c>
      <c r="E315" s="106">
        <v>43586</v>
      </c>
      <c r="F315" s="47">
        <v>8667.0000000000018</v>
      </c>
      <c r="G315" s="47">
        <f t="shared" si="128"/>
        <v>577.80000000000007</v>
      </c>
      <c r="H315" s="47"/>
      <c r="I315" s="47">
        <f t="shared" si="129"/>
        <v>40446.000000000007</v>
      </c>
      <c r="J315" s="47">
        <f t="shared" si="130"/>
        <v>8320.3200000000015</v>
      </c>
      <c r="K315" s="49"/>
      <c r="L315" s="31"/>
      <c r="M315" s="459">
        <v>8025.0000000000009</v>
      </c>
      <c r="N315" s="87">
        <f t="shared" si="137"/>
        <v>8667.0000000000018</v>
      </c>
      <c r="O315" s="34">
        <v>70</v>
      </c>
      <c r="P315" s="34">
        <v>14.4</v>
      </c>
      <c r="Q315" s="35">
        <v>43586</v>
      </c>
      <c r="R315" s="441">
        <v>0</v>
      </c>
      <c r="S315" s="60">
        <f t="shared" si="131"/>
        <v>8667.0000000000018</v>
      </c>
      <c r="T315" s="61">
        <f t="shared" si="135"/>
        <v>8025.0000000000009</v>
      </c>
      <c r="U315" s="236">
        <f t="shared" si="136"/>
        <v>2889.0000000000005</v>
      </c>
      <c r="V315" s="39">
        <v>0.08</v>
      </c>
      <c r="W315" s="40">
        <v>44377</v>
      </c>
      <c r="X315" s="41">
        <f t="shared" si="132"/>
        <v>25</v>
      </c>
      <c r="Y315" s="42">
        <f t="shared" si="133"/>
        <v>2.0833333333333335</v>
      </c>
    </row>
    <row r="316" spans="1:25" ht="13.5" customHeight="1" x14ac:dyDescent="0.2">
      <c r="A316" s="52"/>
      <c r="B316" s="104" t="s">
        <v>329</v>
      </c>
      <c r="C316" s="211" t="s">
        <v>330</v>
      </c>
      <c r="D316" s="45" t="s">
        <v>34</v>
      </c>
      <c r="E316" s="106">
        <v>43344</v>
      </c>
      <c r="F316" s="47">
        <v>6879.8414880000018</v>
      </c>
      <c r="G316" s="47">
        <f t="shared" si="128"/>
        <v>458.65609920000014</v>
      </c>
      <c r="H316" s="47">
        <v>2000</v>
      </c>
      <c r="I316" s="47">
        <f t="shared" si="129"/>
        <v>32105.92694400001</v>
      </c>
      <c r="J316" s="47">
        <f t="shared" si="130"/>
        <v>6604.6478284800023</v>
      </c>
      <c r="K316" s="49"/>
      <c r="L316" s="31"/>
      <c r="M316" s="459">
        <v>6370.2236000000012</v>
      </c>
      <c r="N316" s="87">
        <f t="shared" si="137"/>
        <v>6879.8414880000018</v>
      </c>
      <c r="O316" s="34">
        <v>70</v>
      </c>
      <c r="P316" s="34">
        <v>14.4</v>
      </c>
      <c r="Q316" s="35">
        <v>43344</v>
      </c>
      <c r="R316" s="441">
        <v>0</v>
      </c>
      <c r="S316" s="60">
        <f t="shared" si="131"/>
        <v>6879.8414880000018</v>
      </c>
      <c r="T316" s="61">
        <f t="shared" si="135"/>
        <v>6370.2236000000012</v>
      </c>
      <c r="U316" s="236">
        <f t="shared" si="136"/>
        <v>2293.2804960000008</v>
      </c>
      <c r="V316" s="39">
        <v>0.08</v>
      </c>
      <c r="W316" s="40">
        <v>44377</v>
      </c>
      <c r="X316" s="41">
        <f t="shared" si="132"/>
        <v>33</v>
      </c>
      <c r="Y316" s="42">
        <f t="shared" si="133"/>
        <v>2.75</v>
      </c>
    </row>
    <row r="317" spans="1:25" ht="13.5" customHeight="1" x14ac:dyDescent="0.2">
      <c r="B317" s="43" t="s">
        <v>331</v>
      </c>
      <c r="C317" s="211" t="s">
        <v>332</v>
      </c>
      <c r="D317" s="45" t="s">
        <v>34</v>
      </c>
      <c r="E317" s="46">
        <v>43344</v>
      </c>
      <c r="F317" s="47">
        <v>6879.8414880000018</v>
      </c>
      <c r="G317" s="47">
        <f t="shared" si="128"/>
        <v>458.65609920000014</v>
      </c>
      <c r="H317" s="48"/>
      <c r="I317" s="47">
        <f t="shared" si="129"/>
        <v>32105.92694400001</v>
      </c>
      <c r="J317" s="47">
        <f t="shared" si="130"/>
        <v>6604.6478284800023</v>
      </c>
      <c r="K317" s="49"/>
      <c r="L317" s="50"/>
      <c r="M317" s="459">
        <v>6370.2236000000012</v>
      </c>
      <c r="N317" s="87">
        <f t="shared" si="137"/>
        <v>6879.8414880000018</v>
      </c>
      <c r="O317" s="34">
        <v>70</v>
      </c>
      <c r="P317" s="34">
        <v>14.4</v>
      </c>
      <c r="Q317" s="51">
        <v>43344</v>
      </c>
      <c r="R317" s="441">
        <v>0</v>
      </c>
      <c r="S317" s="60">
        <f t="shared" si="131"/>
        <v>6879.8414880000018</v>
      </c>
      <c r="T317" s="61">
        <f t="shared" si="135"/>
        <v>6370.2236000000012</v>
      </c>
      <c r="U317" s="236">
        <f t="shared" si="136"/>
        <v>2293.2804960000008</v>
      </c>
      <c r="V317" s="39">
        <v>0.08</v>
      </c>
      <c r="W317" s="40">
        <v>44377</v>
      </c>
      <c r="X317" s="41">
        <f t="shared" si="132"/>
        <v>33</v>
      </c>
      <c r="Y317" s="42">
        <f t="shared" si="133"/>
        <v>2.75</v>
      </c>
    </row>
    <row r="318" spans="1:25" ht="12.75" customHeight="1" x14ac:dyDescent="0.2">
      <c r="A318" s="52"/>
      <c r="B318" s="43" t="s">
        <v>333</v>
      </c>
      <c r="C318" s="211" t="s">
        <v>334</v>
      </c>
      <c r="D318" s="45" t="s">
        <v>30</v>
      </c>
      <c r="E318" s="46">
        <v>43344</v>
      </c>
      <c r="F318" s="47">
        <v>6879.8414880000018</v>
      </c>
      <c r="G318" s="47">
        <f t="shared" si="128"/>
        <v>458.65609920000014</v>
      </c>
      <c r="H318" s="47"/>
      <c r="I318" s="47">
        <f t="shared" si="129"/>
        <v>32105.92694400001</v>
      </c>
      <c r="J318" s="47">
        <f t="shared" si="130"/>
        <v>6604.6478284800023</v>
      </c>
      <c r="K318" s="49"/>
      <c r="L318" s="31"/>
      <c r="M318" s="459">
        <v>6370.2236000000012</v>
      </c>
      <c r="N318" s="87">
        <f t="shared" si="137"/>
        <v>6879.8414880000018</v>
      </c>
      <c r="O318" s="34">
        <v>70</v>
      </c>
      <c r="P318" s="34">
        <v>14.4</v>
      </c>
      <c r="Q318" s="51">
        <v>43344</v>
      </c>
      <c r="R318" s="441">
        <v>0</v>
      </c>
      <c r="S318" s="60">
        <f t="shared" si="131"/>
        <v>6879.8414880000018</v>
      </c>
      <c r="T318" s="61">
        <f t="shared" si="135"/>
        <v>6370.2236000000012</v>
      </c>
      <c r="U318" s="236">
        <f t="shared" si="136"/>
        <v>2293.2804960000008</v>
      </c>
      <c r="V318" s="39">
        <v>0.08</v>
      </c>
      <c r="W318" s="40">
        <v>44377</v>
      </c>
      <c r="X318" s="41">
        <f t="shared" si="132"/>
        <v>33</v>
      </c>
      <c r="Y318" s="42">
        <f t="shared" si="133"/>
        <v>2.75</v>
      </c>
    </row>
    <row r="319" spans="1:25" ht="12.75" customHeight="1" x14ac:dyDescent="0.2">
      <c r="A319" s="52"/>
      <c r="B319" s="43" t="s">
        <v>335</v>
      </c>
      <c r="C319" s="211" t="s">
        <v>29</v>
      </c>
      <c r="D319" s="45" t="s">
        <v>30</v>
      </c>
      <c r="E319" s="106">
        <v>43601</v>
      </c>
      <c r="F319" s="47">
        <v>9012.5244000000002</v>
      </c>
      <c r="G319" s="47">
        <f t="shared" si="128"/>
        <v>600.83496000000002</v>
      </c>
      <c r="H319" s="47"/>
      <c r="I319" s="47">
        <f t="shared" si="129"/>
        <v>42058.447200000002</v>
      </c>
      <c r="J319" s="47">
        <f t="shared" si="130"/>
        <v>8652.0234240000009</v>
      </c>
      <c r="K319" s="49"/>
      <c r="L319" s="50"/>
      <c r="M319" s="459">
        <v>8344.93</v>
      </c>
      <c r="N319" s="87">
        <f t="shared" si="137"/>
        <v>9012.5244000000002</v>
      </c>
      <c r="O319" s="34">
        <v>70</v>
      </c>
      <c r="P319" s="34">
        <v>14.4</v>
      </c>
      <c r="Q319" s="35">
        <v>43601</v>
      </c>
      <c r="R319" s="441">
        <v>0</v>
      </c>
      <c r="S319" s="60">
        <f t="shared" si="131"/>
        <v>9012.5244000000002</v>
      </c>
      <c r="T319" s="61">
        <f t="shared" si="135"/>
        <v>8344.93</v>
      </c>
      <c r="U319" s="236">
        <f t="shared" si="136"/>
        <v>3004.1748000000002</v>
      </c>
      <c r="V319" s="39">
        <v>0.08</v>
      </c>
      <c r="W319" s="40">
        <v>44377</v>
      </c>
      <c r="X319" s="41">
        <f t="shared" si="132"/>
        <v>25</v>
      </c>
      <c r="Y319" s="42">
        <f t="shared" si="133"/>
        <v>2.0833333333333335</v>
      </c>
    </row>
    <row r="320" spans="1:25" ht="12.75" customHeight="1" x14ac:dyDescent="0.2">
      <c r="A320" s="52"/>
      <c r="B320" s="285" t="s">
        <v>336</v>
      </c>
      <c r="C320" s="286" t="s">
        <v>50</v>
      </c>
      <c r="D320" s="287" t="s">
        <v>30</v>
      </c>
      <c r="E320" s="288">
        <v>43344</v>
      </c>
      <c r="F320" s="289">
        <v>4945.9680000000008</v>
      </c>
      <c r="G320" s="47">
        <f t="shared" si="128"/>
        <v>329.73120000000006</v>
      </c>
      <c r="H320" s="289"/>
      <c r="I320" s="47">
        <f t="shared" si="129"/>
        <v>23081.184000000005</v>
      </c>
      <c r="J320" s="47">
        <f t="shared" si="130"/>
        <v>4748.129280000001</v>
      </c>
      <c r="K320" s="290"/>
      <c r="L320" s="50"/>
      <c r="M320" s="459">
        <v>4579.6000000000004</v>
      </c>
      <c r="N320" s="87">
        <f t="shared" si="137"/>
        <v>4945.9680000000008</v>
      </c>
      <c r="O320" s="34">
        <v>70</v>
      </c>
      <c r="P320" s="34">
        <v>14.4</v>
      </c>
      <c r="Q320" s="35">
        <v>43344</v>
      </c>
      <c r="R320" s="441">
        <v>0</v>
      </c>
      <c r="S320" s="60">
        <f t="shared" si="131"/>
        <v>4945.9680000000008</v>
      </c>
      <c r="T320" s="61">
        <f t="shared" si="135"/>
        <v>4579.6000000000004</v>
      </c>
      <c r="U320" s="236">
        <f t="shared" si="136"/>
        <v>1648.6560000000004</v>
      </c>
      <c r="V320" s="39">
        <v>0.08</v>
      </c>
      <c r="W320" s="40">
        <v>44377</v>
      </c>
      <c r="X320" s="41">
        <f t="shared" si="132"/>
        <v>33</v>
      </c>
      <c r="Y320" s="42">
        <f t="shared" si="133"/>
        <v>2.75</v>
      </c>
    </row>
    <row r="321" spans="1:25" ht="12.75" customHeight="1" thickBot="1" x14ac:dyDescent="0.25">
      <c r="A321" s="52"/>
      <c r="B321" s="53" t="s">
        <v>337</v>
      </c>
      <c r="C321" s="54" t="s">
        <v>338</v>
      </c>
      <c r="D321" s="55" t="s">
        <v>30</v>
      </c>
      <c r="E321" s="56">
        <v>43480</v>
      </c>
      <c r="F321" s="57">
        <v>4421.3256000000001</v>
      </c>
      <c r="G321" s="57">
        <f t="shared" si="128"/>
        <v>294.75504000000001</v>
      </c>
      <c r="H321" s="57"/>
      <c r="I321" s="57">
        <f t="shared" si="129"/>
        <v>20632.852800000001</v>
      </c>
      <c r="J321" s="57">
        <f t="shared" si="130"/>
        <v>4244.4725760000001</v>
      </c>
      <c r="K321" s="58"/>
      <c r="L321" s="50"/>
      <c r="M321" s="459">
        <v>4093.82</v>
      </c>
      <c r="N321" s="87">
        <f t="shared" si="137"/>
        <v>4421.3256000000001</v>
      </c>
      <c r="O321" s="34">
        <v>70</v>
      </c>
      <c r="P321" s="34">
        <v>14.4</v>
      </c>
      <c r="Q321" s="35">
        <v>43480</v>
      </c>
      <c r="R321" s="441">
        <v>0</v>
      </c>
      <c r="S321" s="60">
        <f t="shared" si="131"/>
        <v>4421.3256000000001</v>
      </c>
      <c r="T321" s="61">
        <f t="shared" si="135"/>
        <v>4093.8199999999997</v>
      </c>
      <c r="U321" s="236">
        <f t="shared" si="136"/>
        <v>1473.7752</v>
      </c>
      <c r="V321" s="39">
        <v>0.08</v>
      </c>
      <c r="W321" s="40">
        <v>44377</v>
      </c>
      <c r="X321" s="41">
        <f t="shared" si="132"/>
        <v>29</v>
      </c>
      <c r="Y321" s="42">
        <f t="shared" si="133"/>
        <v>2.4166666666666665</v>
      </c>
    </row>
    <row r="322" spans="1:25" ht="13.5" customHeight="1" thickBot="1" x14ac:dyDescent="0.25">
      <c r="D322" s="6"/>
      <c r="E322" s="62"/>
      <c r="F322" s="198"/>
      <c r="G322" s="198"/>
      <c r="H322" s="198"/>
      <c r="I322" s="198"/>
      <c r="J322" s="198"/>
      <c r="K322" s="199"/>
      <c r="N322" s="64"/>
      <c r="S322" s="84"/>
      <c r="V322" s="66"/>
      <c r="W322" s="67"/>
      <c r="X322" s="68"/>
    </row>
    <row r="323" spans="1:25" s="291" customFormat="1" x14ac:dyDescent="0.2">
      <c r="B323" s="69" t="s">
        <v>39</v>
      </c>
      <c r="C323" s="69" t="s">
        <v>40</v>
      </c>
      <c r="D323" s="292"/>
      <c r="E323" s="71" t="s">
        <v>41</v>
      </c>
      <c r="F323" s="72">
        <f t="shared" ref="F323:K323" si="138">SUM(F304:F321)</f>
        <v>100227.02540400003</v>
      </c>
      <c r="G323" s="72">
        <f t="shared" si="138"/>
        <v>6681.8016936000031</v>
      </c>
      <c r="H323" s="72">
        <f t="shared" si="138"/>
        <v>2000</v>
      </c>
      <c r="I323" s="72">
        <f t="shared" si="138"/>
        <v>467726.11855200009</v>
      </c>
      <c r="J323" s="72">
        <f t="shared" si="138"/>
        <v>96548.335050240014</v>
      </c>
      <c r="K323" s="197">
        <f t="shared" si="138"/>
        <v>1496.2966560000004</v>
      </c>
      <c r="L323" s="293"/>
      <c r="M323" s="5" t="s">
        <v>42</v>
      </c>
      <c r="N323" s="64"/>
      <c r="O323" s="115"/>
      <c r="P323" s="115"/>
      <c r="R323" s="185"/>
      <c r="S323" s="294"/>
      <c r="T323" s="295"/>
      <c r="V323" s="296"/>
      <c r="W323" s="206"/>
      <c r="X323" s="297"/>
      <c r="Y323" s="298"/>
    </row>
    <row r="324" spans="1:25" ht="19.5" customHeight="1" thickBot="1" x14ac:dyDescent="0.25">
      <c r="B324" s="69" t="s">
        <v>43</v>
      </c>
      <c r="C324" s="69" t="s">
        <v>44</v>
      </c>
      <c r="E324" s="232" t="s">
        <v>46</v>
      </c>
      <c r="F324" s="75">
        <f>F323*24</f>
        <v>2405448.6096960008</v>
      </c>
      <c r="G324" s="75">
        <f>G323*5</f>
        <v>33409.008468000015</v>
      </c>
      <c r="H324" s="75">
        <f>H323*24</f>
        <v>48000</v>
      </c>
      <c r="I324" s="75">
        <f>I323</f>
        <v>467726.11855200009</v>
      </c>
      <c r="J324" s="75">
        <f>J323</f>
        <v>96548.335050240014</v>
      </c>
      <c r="K324" s="76">
        <f>K323</f>
        <v>1496.2966560000004</v>
      </c>
      <c r="L324" s="73"/>
      <c r="M324" s="77">
        <f>SUM(F324:K324)</f>
        <v>3052628.3684222414</v>
      </c>
      <c r="N324" s="78"/>
      <c r="O324" s="80"/>
      <c r="P324" s="80"/>
      <c r="Q324" s="176"/>
      <c r="R324" s="81">
        <f>SUM(R304:R321)</f>
        <v>335.16</v>
      </c>
      <c r="S324" s="103">
        <f>M324*(1+V324)</f>
        <v>3296838.6378960209</v>
      </c>
      <c r="T324" s="77"/>
      <c r="U324" s="299">
        <f>SUM(U304:U321)</f>
        <v>33409.008468</v>
      </c>
      <c r="V324" s="82">
        <v>0.08</v>
      </c>
      <c r="W324" s="83"/>
      <c r="X324" s="178"/>
      <c r="Y324" s="179"/>
    </row>
    <row r="325" spans="1:25" ht="13.5" customHeight="1" x14ac:dyDescent="0.2">
      <c r="B325" s="69"/>
      <c r="N325" s="64"/>
      <c r="S325" s="84"/>
      <c r="V325" s="66"/>
      <c r="W325" s="67"/>
      <c r="X325" s="68"/>
    </row>
    <row r="326" spans="1:25" x14ac:dyDescent="0.2">
      <c r="N326" s="64"/>
      <c r="Q326" s="206"/>
      <c r="S326" s="84"/>
      <c r="V326" s="66"/>
      <c r="W326" s="67"/>
      <c r="X326" s="68"/>
    </row>
    <row r="327" spans="1:25" ht="15" x14ac:dyDescent="0.25">
      <c r="B327" s="13"/>
      <c r="C327" s="13"/>
      <c r="D327" s="13" t="s">
        <v>639</v>
      </c>
      <c r="E327" s="13"/>
      <c r="F327" s="13"/>
      <c r="G327" s="13"/>
      <c r="H327" s="13"/>
      <c r="I327" s="14"/>
      <c r="J327" s="13"/>
      <c r="K327" s="13"/>
      <c r="L327" s="15"/>
      <c r="N327" s="64"/>
      <c r="Q327" s="206"/>
      <c r="S327" s="84"/>
      <c r="V327" s="66"/>
      <c r="W327" s="67"/>
      <c r="X327" s="68"/>
    </row>
    <row r="328" spans="1:25" ht="15" x14ac:dyDescent="0.25">
      <c r="B328" s="16" t="s">
        <v>4</v>
      </c>
      <c r="C328" s="16"/>
      <c r="D328" s="13" t="s">
        <v>339</v>
      </c>
      <c r="E328" s="13"/>
      <c r="F328" s="14"/>
      <c r="G328" s="14"/>
      <c r="H328" s="476"/>
      <c r="I328" s="476"/>
      <c r="J328" s="14"/>
      <c r="K328" s="17"/>
      <c r="L328" s="18"/>
      <c r="N328" s="64"/>
      <c r="Q328" s="206"/>
      <c r="S328" s="84"/>
      <c r="V328" s="66"/>
      <c r="W328" s="67"/>
      <c r="X328" s="68"/>
    </row>
    <row r="329" spans="1:25" ht="14.25" thickBot="1" x14ac:dyDescent="0.25">
      <c r="B329" s="19"/>
      <c r="C329" s="19"/>
      <c r="D329" s="19"/>
      <c r="E329" s="19"/>
      <c r="F329" s="20"/>
      <c r="G329" s="20"/>
      <c r="H329" s="20"/>
      <c r="I329" s="20"/>
      <c r="J329" s="20"/>
      <c r="K329" s="22"/>
      <c r="L329" s="19"/>
      <c r="N329" s="64"/>
      <c r="Q329" s="206"/>
      <c r="S329" s="84"/>
      <c r="V329" s="66"/>
      <c r="W329" s="67"/>
      <c r="X329" s="68"/>
    </row>
    <row r="330" spans="1:25" ht="12.75" customHeight="1" x14ac:dyDescent="0.2">
      <c r="B330" s="503" t="s">
        <v>6</v>
      </c>
      <c r="C330" s="499" t="s">
        <v>7</v>
      </c>
      <c r="D330" s="499" t="s">
        <v>8</v>
      </c>
      <c r="E330" s="499" t="s">
        <v>9</v>
      </c>
      <c r="F330" s="507" t="s">
        <v>340</v>
      </c>
      <c r="G330" s="483" t="s">
        <v>11</v>
      </c>
      <c r="H330" s="483" t="s">
        <v>12</v>
      </c>
      <c r="I330" s="499" t="s">
        <v>13</v>
      </c>
      <c r="J330" s="499" t="s">
        <v>14</v>
      </c>
      <c r="K330" s="501" t="s">
        <v>15</v>
      </c>
      <c r="L330" s="23"/>
      <c r="M330" s="495" t="s">
        <v>16</v>
      </c>
      <c r="N330" s="495" t="s">
        <v>17</v>
      </c>
      <c r="O330" s="489" t="s">
        <v>18</v>
      </c>
      <c r="P330" s="489" t="s">
        <v>19</v>
      </c>
      <c r="Q330" s="489" t="s">
        <v>20</v>
      </c>
      <c r="R330" s="490" t="s">
        <v>21</v>
      </c>
      <c r="S330" s="495" t="s">
        <v>22</v>
      </c>
      <c r="T330" s="495" t="s">
        <v>16</v>
      </c>
      <c r="U330" s="498" t="s">
        <v>23</v>
      </c>
      <c r="V330" s="498" t="s">
        <v>24</v>
      </c>
      <c r="W330" s="489" t="s">
        <v>25</v>
      </c>
      <c r="X330" s="489" t="s">
        <v>26</v>
      </c>
      <c r="Y330" s="497" t="s">
        <v>27</v>
      </c>
    </row>
    <row r="331" spans="1:25" ht="13.5" customHeight="1" thickBot="1" x14ac:dyDescent="0.25">
      <c r="B331" s="504"/>
      <c r="C331" s="500"/>
      <c r="D331" s="500"/>
      <c r="E331" s="500"/>
      <c r="F331" s="508"/>
      <c r="G331" s="484"/>
      <c r="H331" s="484"/>
      <c r="I331" s="500"/>
      <c r="J331" s="500"/>
      <c r="K331" s="502"/>
      <c r="L331" s="23"/>
      <c r="M331" s="495"/>
      <c r="N331" s="495"/>
      <c r="O331" s="489"/>
      <c r="P331" s="489"/>
      <c r="Q331" s="489"/>
      <c r="R331" s="490"/>
      <c r="S331" s="495"/>
      <c r="T331" s="495"/>
      <c r="U331" s="498"/>
      <c r="V331" s="498"/>
      <c r="W331" s="489"/>
      <c r="X331" s="489"/>
      <c r="Y331" s="497"/>
    </row>
    <row r="332" spans="1:25" ht="13.5" thickBot="1" x14ac:dyDescent="0.25">
      <c r="D332" s="6"/>
      <c r="I332" s="100"/>
      <c r="J332" s="100"/>
      <c r="K332" s="101"/>
      <c r="N332" s="64"/>
      <c r="Q332" s="206"/>
      <c r="S332" s="84"/>
      <c r="V332" s="66"/>
      <c r="W332" s="67"/>
      <c r="X332" s="68"/>
    </row>
    <row r="333" spans="1:25" ht="13.5" thickBot="1" x14ac:dyDescent="0.25">
      <c r="B333" s="25" t="s">
        <v>341</v>
      </c>
      <c r="C333" s="26" t="s">
        <v>342</v>
      </c>
      <c r="D333" s="27" t="s">
        <v>34</v>
      </c>
      <c r="E333" s="28">
        <v>43820</v>
      </c>
      <c r="F333" s="29">
        <v>2998.4931000000006</v>
      </c>
      <c r="G333" s="29">
        <v>0</v>
      </c>
      <c r="H333" s="29">
        <v>209</v>
      </c>
      <c r="I333" s="29">
        <f t="shared" ref="I333:I357" si="139">F333/7*O333</f>
        <v>29984.931000000004</v>
      </c>
      <c r="J333" s="29">
        <f>F333/7*P333</f>
        <v>6168.3286628571441</v>
      </c>
      <c r="K333" s="30">
        <v>0</v>
      </c>
      <c r="L333" s="300"/>
      <c r="M333" s="460">
        <v>2998.4931000000006</v>
      </c>
      <c r="N333" s="87">
        <f>M333*(1+8%)</f>
        <v>3238.3725480000007</v>
      </c>
      <c r="O333" s="34">
        <v>70</v>
      </c>
      <c r="P333" s="34">
        <v>14.4</v>
      </c>
      <c r="Q333" s="35">
        <v>43820</v>
      </c>
      <c r="R333" s="36">
        <v>0</v>
      </c>
      <c r="S333" s="103">
        <f t="shared" ref="S333:S357" si="140">M333*(1+V333)</f>
        <v>3238.3725480000007</v>
      </c>
      <c r="T333" s="38">
        <f>S333/1.08</f>
        <v>2998.4931000000006</v>
      </c>
      <c r="U333" s="259">
        <v>0</v>
      </c>
      <c r="V333" s="39">
        <v>0.08</v>
      </c>
      <c r="W333" s="40">
        <v>44377</v>
      </c>
      <c r="X333" s="41">
        <f t="shared" ref="X333:X357" si="141">(YEAR(W333)-YEAR(E333))*12+MONTH(W333)-MONTH(E333)</f>
        <v>18</v>
      </c>
      <c r="Y333" s="42">
        <f t="shared" ref="Y333:Y357" si="142">X333/12</f>
        <v>1.5</v>
      </c>
    </row>
    <row r="334" spans="1:25" ht="13.5" thickBot="1" x14ac:dyDescent="0.25">
      <c r="B334" s="25" t="s">
        <v>343</v>
      </c>
      <c r="C334" s="26" t="s">
        <v>342</v>
      </c>
      <c r="D334" s="27" t="s">
        <v>34</v>
      </c>
      <c r="E334" s="28">
        <v>43367</v>
      </c>
      <c r="F334" s="29">
        <v>2998.4931000000006</v>
      </c>
      <c r="G334" s="29">
        <v>0</v>
      </c>
      <c r="H334" s="29">
        <v>209</v>
      </c>
      <c r="I334" s="29">
        <f t="shared" si="139"/>
        <v>29984.931000000004</v>
      </c>
      <c r="J334" s="29">
        <f>F334/7*P334</f>
        <v>6168.3286628571441</v>
      </c>
      <c r="K334" s="30">
        <v>0</v>
      </c>
      <c r="L334" s="300"/>
      <c r="M334" s="460">
        <v>2998.4931000000006</v>
      </c>
      <c r="N334" s="87">
        <f t="shared" ref="N334:N357" si="143">M334*(1+8%)</f>
        <v>3238.3725480000007</v>
      </c>
      <c r="O334" s="34">
        <v>70</v>
      </c>
      <c r="P334" s="34">
        <v>14.4</v>
      </c>
      <c r="Q334" s="35">
        <v>43367</v>
      </c>
      <c r="R334" s="36">
        <v>0</v>
      </c>
      <c r="S334" s="103">
        <f t="shared" si="140"/>
        <v>3238.3725480000007</v>
      </c>
      <c r="T334" s="38">
        <f t="shared" ref="T334:T357" si="144">S334/1.08</f>
        <v>2998.4931000000006</v>
      </c>
      <c r="U334" s="259">
        <v>0</v>
      </c>
      <c r="V334" s="39">
        <v>0.08</v>
      </c>
      <c r="W334" s="40">
        <v>44377</v>
      </c>
      <c r="X334" s="41">
        <f t="shared" si="141"/>
        <v>33</v>
      </c>
      <c r="Y334" s="42">
        <f t="shared" si="142"/>
        <v>2.75</v>
      </c>
    </row>
    <row r="335" spans="1:25" ht="13.5" thickBot="1" x14ac:dyDescent="0.25">
      <c r="B335" s="88" t="s">
        <v>344</v>
      </c>
      <c r="C335" s="89" t="s">
        <v>345</v>
      </c>
      <c r="D335" s="27" t="s">
        <v>34</v>
      </c>
      <c r="E335" s="91">
        <v>40913</v>
      </c>
      <c r="F335" s="301">
        <v>2998</v>
      </c>
      <c r="G335" s="124">
        <v>0</v>
      </c>
      <c r="H335" s="124">
        <v>219</v>
      </c>
      <c r="I335" s="124">
        <f t="shared" si="139"/>
        <v>29980</v>
      </c>
      <c r="J335" s="124">
        <f>F335/7*P335</f>
        <v>8223.085714285713</v>
      </c>
      <c r="K335" s="125">
        <f>F335/7*12+R335+R335</f>
        <v>5809.7485714285713</v>
      </c>
      <c r="L335" s="302"/>
      <c r="M335" s="460">
        <v>2998</v>
      </c>
      <c r="N335" s="87">
        <f t="shared" si="143"/>
        <v>3237.84</v>
      </c>
      <c r="O335" s="34">
        <v>70</v>
      </c>
      <c r="P335" s="34">
        <v>19.2</v>
      </c>
      <c r="Q335" s="35">
        <v>40913</v>
      </c>
      <c r="R335" s="36">
        <v>335.16</v>
      </c>
      <c r="S335" s="103">
        <f t="shared" si="140"/>
        <v>3237.84</v>
      </c>
      <c r="T335" s="38">
        <f t="shared" si="144"/>
        <v>2998</v>
      </c>
      <c r="U335" s="259">
        <v>0</v>
      </c>
      <c r="V335" s="39">
        <v>0.08</v>
      </c>
      <c r="W335" s="40">
        <v>44377</v>
      </c>
      <c r="X335" s="41">
        <f t="shared" si="141"/>
        <v>113</v>
      </c>
      <c r="Y335" s="42">
        <f t="shared" si="142"/>
        <v>9.4166666666666661</v>
      </c>
    </row>
    <row r="336" spans="1:25" ht="13.5" thickBot="1" x14ac:dyDescent="0.25">
      <c r="B336" s="88" t="s">
        <v>346</v>
      </c>
      <c r="C336" s="89" t="s">
        <v>342</v>
      </c>
      <c r="D336" s="27" t="s">
        <v>34</v>
      </c>
      <c r="E336" s="91">
        <v>43347</v>
      </c>
      <c r="F336" s="124">
        <v>2998.4931000000006</v>
      </c>
      <c r="G336" s="124">
        <v>0</v>
      </c>
      <c r="H336" s="124">
        <v>209</v>
      </c>
      <c r="I336" s="124">
        <f t="shared" si="139"/>
        <v>29984.931000000004</v>
      </c>
      <c r="J336" s="124">
        <f>F336/7*P336</f>
        <v>6168.3286628571441</v>
      </c>
      <c r="K336" s="125">
        <v>0</v>
      </c>
      <c r="L336" s="302"/>
      <c r="M336" s="460">
        <v>2998.4931000000006</v>
      </c>
      <c r="N336" s="87">
        <f t="shared" si="143"/>
        <v>3238.3725480000007</v>
      </c>
      <c r="O336" s="34">
        <v>70</v>
      </c>
      <c r="P336" s="34">
        <v>14.4</v>
      </c>
      <c r="Q336" s="280">
        <v>43347</v>
      </c>
      <c r="R336" s="36">
        <v>0</v>
      </c>
      <c r="S336" s="103">
        <f t="shared" si="140"/>
        <v>3238.3725480000007</v>
      </c>
      <c r="T336" s="38">
        <f t="shared" si="144"/>
        <v>2998.4931000000006</v>
      </c>
      <c r="U336" s="259">
        <v>0</v>
      </c>
      <c r="V336" s="39">
        <v>0.08</v>
      </c>
      <c r="W336" s="40">
        <v>44377</v>
      </c>
      <c r="X336" s="41">
        <f t="shared" si="141"/>
        <v>33</v>
      </c>
      <c r="Y336" s="42">
        <f t="shared" si="142"/>
        <v>2.75</v>
      </c>
    </row>
    <row r="337" spans="1:25" s="130" customFormat="1" ht="13.5" thickBot="1" x14ac:dyDescent="0.25">
      <c r="A337" s="130" t="s">
        <v>90</v>
      </c>
      <c r="B337" s="88" t="s">
        <v>347</v>
      </c>
      <c r="C337" s="303" t="s">
        <v>342</v>
      </c>
      <c r="D337" s="27" t="s">
        <v>34</v>
      </c>
      <c r="E337" s="304">
        <v>43740</v>
      </c>
      <c r="F337" s="305">
        <v>2998.4931000000001</v>
      </c>
      <c r="G337" s="305">
        <v>0</v>
      </c>
      <c r="H337" s="305">
        <v>209</v>
      </c>
      <c r="I337" s="305">
        <f t="shared" si="139"/>
        <v>29984.931</v>
      </c>
      <c r="J337" s="305">
        <v>0</v>
      </c>
      <c r="K337" s="306">
        <v>0</v>
      </c>
      <c r="L337" s="302"/>
      <c r="M337" s="460">
        <v>2998.4931000000001</v>
      </c>
      <c r="N337" s="87">
        <f t="shared" si="143"/>
        <v>3238.3725480000003</v>
      </c>
      <c r="O337" s="34">
        <v>70</v>
      </c>
      <c r="P337" s="34">
        <v>14.4</v>
      </c>
      <c r="Q337" s="35">
        <v>43740</v>
      </c>
      <c r="R337" s="36">
        <v>0</v>
      </c>
      <c r="S337" s="181">
        <f t="shared" si="140"/>
        <v>3238.3725480000003</v>
      </c>
      <c r="T337" s="38">
        <f t="shared" si="144"/>
        <v>2998.4931000000001</v>
      </c>
      <c r="U337" s="307">
        <v>0</v>
      </c>
      <c r="V337" s="39">
        <v>0.08</v>
      </c>
      <c r="W337" s="144">
        <v>44377</v>
      </c>
      <c r="X337" s="145">
        <f t="shared" si="141"/>
        <v>20</v>
      </c>
      <c r="Y337" s="146">
        <f t="shared" si="142"/>
        <v>1.6666666666666667</v>
      </c>
    </row>
    <row r="338" spans="1:25" ht="13.5" thickBot="1" x14ac:dyDescent="0.25">
      <c r="A338" s="1" t="s">
        <v>90</v>
      </c>
      <c r="B338" s="88" t="s">
        <v>348</v>
      </c>
      <c r="C338" s="89" t="s">
        <v>342</v>
      </c>
      <c r="D338" s="27" t="s">
        <v>34</v>
      </c>
      <c r="E338" s="91">
        <v>43640</v>
      </c>
      <c r="F338" s="301">
        <v>2998</v>
      </c>
      <c r="G338" s="124">
        <v>0</v>
      </c>
      <c r="H338" s="124">
        <v>149</v>
      </c>
      <c r="I338" s="124">
        <f t="shared" si="139"/>
        <v>29980</v>
      </c>
      <c r="J338" s="124">
        <f t="shared" ref="J338:J357" si="145">F338/7*P338</f>
        <v>6167.3142857142857</v>
      </c>
      <c r="K338" s="125"/>
      <c r="L338" s="302"/>
      <c r="M338" s="460">
        <v>2998</v>
      </c>
      <c r="N338" s="87">
        <f t="shared" si="143"/>
        <v>3237.84</v>
      </c>
      <c r="O338" s="34">
        <v>70</v>
      </c>
      <c r="P338" s="34">
        <v>14.4</v>
      </c>
      <c r="Q338" s="35">
        <v>43640</v>
      </c>
      <c r="R338" s="36">
        <v>0</v>
      </c>
      <c r="S338" s="103">
        <f t="shared" si="140"/>
        <v>3237.84</v>
      </c>
      <c r="T338" s="38">
        <f t="shared" si="144"/>
        <v>2998</v>
      </c>
      <c r="U338" s="259">
        <v>0</v>
      </c>
      <c r="V338" s="39">
        <v>0.08</v>
      </c>
      <c r="W338" s="40">
        <v>44377</v>
      </c>
      <c r="X338" s="41">
        <f t="shared" si="141"/>
        <v>24</v>
      </c>
      <c r="Y338" s="42">
        <f t="shared" si="142"/>
        <v>2</v>
      </c>
    </row>
    <row r="339" spans="1:25" ht="13.5" thickBot="1" x14ac:dyDescent="0.25">
      <c r="B339" s="88" t="s">
        <v>349</v>
      </c>
      <c r="C339" s="89" t="s">
        <v>342</v>
      </c>
      <c r="D339" s="27" t="s">
        <v>34</v>
      </c>
      <c r="E339" s="91">
        <v>43367</v>
      </c>
      <c r="F339" s="301">
        <v>3752</v>
      </c>
      <c r="G339" s="124">
        <v>0</v>
      </c>
      <c r="H339" s="124">
        <v>209</v>
      </c>
      <c r="I339" s="124">
        <f t="shared" si="139"/>
        <v>37520</v>
      </c>
      <c r="J339" s="124">
        <f t="shared" si="145"/>
        <v>7718.4000000000005</v>
      </c>
      <c r="K339" s="125">
        <v>0</v>
      </c>
      <c r="L339" s="302"/>
      <c r="M339" s="460">
        <v>3752</v>
      </c>
      <c r="N339" s="87">
        <f t="shared" si="143"/>
        <v>4052.1600000000003</v>
      </c>
      <c r="O339" s="34">
        <v>70</v>
      </c>
      <c r="P339" s="34">
        <v>14.4</v>
      </c>
      <c r="Q339" s="35">
        <v>43367</v>
      </c>
      <c r="R339" s="36">
        <v>0</v>
      </c>
      <c r="S339" s="103">
        <f t="shared" si="140"/>
        <v>4052.1600000000003</v>
      </c>
      <c r="T339" s="38">
        <f t="shared" si="144"/>
        <v>3752</v>
      </c>
      <c r="U339" s="259">
        <v>0</v>
      </c>
      <c r="V339" s="39">
        <v>0.08</v>
      </c>
      <c r="W339" s="40">
        <v>44377</v>
      </c>
      <c r="X339" s="41">
        <f t="shared" si="141"/>
        <v>33</v>
      </c>
      <c r="Y339" s="42">
        <f t="shared" si="142"/>
        <v>2.75</v>
      </c>
    </row>
    <row r="340" spans="1:25" ht="13.5" thickBot="1" x14ac:dyDescent="0.25">
      <c r="B340" s="88" t="s">
        <v>350</v>
      </c>
      <c r="C340" s="89" t="s">
        <v>342</v>
      </c>
      <c r="D340" s="27" t="s">
        <v>34</v>
      </c>
      <c r="E340" s="91">
        <v>43348</v>
      </c>
      <c r="F340" s="124">
        <v>2998.4931000000006</v>
      </c>
      <c r="G340" s="124">
        <v>0</v>
      </c>
      <c r="H340" s="124">
        <v>209</v>
      </c>
      <c r="I340" s="124">
        <f t="shared" si="139"/>
        <v>29984.931000000004</v>
      </c>
      <c r="J340" s="124">
        <f t="shared" si="145"/>
        <v>6168.3286628571441</v>
      </c>
      <c r="K340" s="125">
        <v>0</v>
      </c>
      <c r="L340" s="302"/>
      <c r="M340" s="460">
        <v>2998.4931000000006</v>
      </c>
      <c r="N340" s="87">
        <f t="shared" si="143"/>
        <v>3238.3725480000007</v>
      </c>
      <c r="O340" s="34">
        <v>70</v>
      </c>
      <c r="P340" s="34">
        <v>14.4</v>
      </c>
      <c r="Q340" s="35">
        <v>43348</v>
      </c>
      <c r="R340" s="36">
        <v>0</v>
      </c>
      <c r="S340" s="103">
        <f t="shared" si="140"/>
        <v>3238.3725480000007</v>
      </c>
      <c r="T340" s="38">
        <f t="shared" si="144"/>
        <v>2998.4931000000006</v>
      </c>
      <c r="U340" s="259">
        <v>0</v>
      </c>
      <c r="V340" s="39">
        <v>0.08</v>
      </c>
      <c r="W340" s="40">
        <v>44377</v>
      </c>
      <c r="X340" s="41">
        <f t="shared" si="141"/>
        <v>33</v>
      </c>
      <c r="Y340" s="42">
        <f t="shared" si="142"/>
        <v>2.75</v>
      </c>
    </row>
    <row r="341" spans="1:25" ht="13.5" thickBot="1" x14ac:dyDescent="0.25">
      <c r="B341" s="88" t="s">
        <v>351</v>
      </c>
      <c r="C341" s="89" t="s">
        <v>342</v>
      </c>
      <c r="D341" s="27" t="s">
        <v>34</v>
      </c>
      <c r="E341" s="91">
        <v>43410</v>
      </c>
      <c r="F341" s="301">
        <v>3752</v>
      </c>
      <c r="G341" s="124">
        <v>0</v>
      </c>
      <c r="H341" s="124">
        <v>209</v>
      </c>
      <c r="I341" s="124">
        <f t="shared" si="139"/>
        <v>37520</v>
      </c>
      <c r="J341" s="124">
        <f t="shared" si="145"/>
        <v>7718.4000000000005</v>
      </c>
      <c r="K341" s="125">
        <v>0</v>
      </c>
      <c r="L341" s="302"/>
      <c r="M341" s="460">
        <v>3752</v>
      </c>
      <c r="N341" s="87">
        <f t="shared" si="143"/>
        <v>4052.1600000000003</v>
      </c>
      <c r="O341" s="34">
        <v>70</v>
      </c>
      <c r="P341" s="34">
        <v>14.4</v>
      </c>
      <c r="Q341" s="35">
        <v>43410</v>
      </c>
      <c r="R341" s="36">
        <v>0</v>
      </c>
      <c r="S341" s="103">
        <f t="shared" si="140"/>
        <v>4052.1600000000003</v>
      </c>
      <c r="T341" s="38">
        <f t="shared" si="144"/>
        <v>3752</v>
      </c>
      <c r="U341" s="259">
        <v>0</v>
      </c>
      <c r="V341" s="39">
        <v>0.08</v>
      </c>
      <c r="W341" s="40">
        <v>44377</v>
      </c>
      <c r="X341" s="41">
        <f t="shared" si="141"/>
        <v>31</v>
      </c>
      <c r="Y341" s="42">
        <f t="shared" si="142"/>
        <v>2.5833333333333335</v>
      </c>
    </row>
    <row r="342" spans="1:25" ht="13.5" thickBot="1" x14ac:dyDescent="0.25">
      <c r="B342" s="254" t="s">
        <v>352</v>
      </c>
      <c r="C342" s="89" t="s">
        <v>345</v>
      </c>
      <c r="D342" s="27" t="s">
        <v>34</v>
      </c>
      <c r="E342" s="225">
        <v>42329</v>
      </c>
      <c r="F342" s="124">
        <v>3752</v>
      </c>
      <c r="G342" s="124">
        <v>0</v>
      </c>
      <c r="H342" s="124">
        <v>209</v>
      </c>
      <c r="I342" s="124">
        <f t="shared" si="139"/>
        <v>37520</v>
      </c>
      <c r="J342" s="124">
        <f t="shared" si="145"/>
        <v>10291.199999999999</v>
      </c>
      <c r="K342" s="125">
        <f>F342/7*12+R342+R342</f>
        <v>7102.32</v>
      </c>
      <c r="L342" s="50"/>
      <c r="M342" s="460">
        <v>3752</v>
      </c>
      <c r="N342" s="87">
        <f t="shared" si="143"/>
        <v>4052.1600000000003</v>
      </c>
      <c r="O342" s="34">
        <v>70</v>
      </c>
      <c r="P342" s="34">
        <v>19.2</v>
      </c>
      <c r="Q342" s="51">
        <v>42329</v>
      </c>
      <c r="R342" s="36">
        <v>335.16</v>
      </c>
      <c r="S342" s="103">
        <f t="shared" si="140"/>
        <v>4052.1600000000003</v>
      </c>
      <c r="T342" s="38">
        <f t="shared" si="144"/>
        <v>3752</v>
      </c>
      <c r="U342" s="259">
        <v>0</v>
      </c>
      <c r="V342" s="39">
        <v>0.08</v>
      </c>
      <c r="W342" s="40">
        <v>44377</v>
      </c>
      <c r="X342" s="41">
        <f t="shared" si="141"/>
        <v>67</v>
      </c>
      <c r="Y342" s="42">
        <f t="shared" si="142"/>
        <v>5.583333333333333</v>
      </c>
    </row>
    <row r="343" spans="1:25" ht="13.5" thickBot="1" x14ac:dyDescent="0.25">
      <c r="B343" s="43" t="s">
        <v>353</v>
      </c>
      <c r="C343" s="89" t="s">
        <v>342</v>
      </c>
      <c r="D343" s="27" t="s">
        <v>34</v>
      </c>
      <c r="E343" s="46">
        <v>43529</v>
      </c>
      <c r="F343" s="124">
        <v>2998.1400000000003</v>
      </c>
      <c r="G343" s="124">
        <v>0</v>
      </c>
      <c r="H343" s="124">
        <v>209</v>
      </c>
      <c r="I343" s="124">
        <f t="shared" si="139"/>
        <v>29981.4</v>
      </c>
      <c r="J343" s="124">
        <f t="shared" si="145"/>
        <v>6167.6022857142862</v>
      </c>
      <c r="K343" s="125">
        <v>0</v>
      </c>
      <c r="L343" s="50"/>
      <c r="M343" s="460">
        <v>2998.1400000000003</v>
      </c>
      <c r="N343" s="87">
        <f t="shared" si="143"/>
        <v>3237.9912000000004</v>
      </c>
      <c r="O343" s="34">
        <v>70</v>
      </c>
      <c r="P343" s="34">
        <v>14.4</v>
      </c>
      <c r="Q343" s="51">
        <v>43529</v>
      </c>
      <c r="R343" s="36">
        <v>0</v>
      </c>
      <c r="S343" s="103">
        <f t="shared" si="140"/>
        <v>3237.9912000000004</v>
      </c>
      <c r="T343" s="38">
        <f t="shared" si="144"/>
        <v>2998.1400000000003</v>
      </c>
      <c r="U343" s="259">
        <v>0</v>
      </c>
      <c r="V343" s="39">
        <v>0.08</v>
      </c>
      <c r="W343" s="40">
        <v>44377</v>
      </c>
      <c r="X343" s="41">
        <f t="shared" si="141"/>
        <v>27</v>
      </c>
      <c r="Y343" s="42">
        <f t="shared" si="142"/>
        <v>2.25</v>
      </c>
    </row>
    <row r="344" spans="1:25" ht="13.5" thickBot="1" x14ac:dyDescent="0.25">
      <c r="B344" s="43" t="s">
        <v>354</v>
      </c>
      <c r="C344" s="89" t="s">
        <v>342</v>
      </c>
      <c r="D344" s="27" t="s">
        <v>34</v>
      </c>
      <c r="E344" s="46">
        <v>43529</v>
      </c>
      <c r="F344" s="124">
        <v>2998.1400000000003</v>
      </c>
      <c r="G344" s="124">
        <v>0</v>
      </c>
      <c r="H344" s="124">
        <v>209</v>
      </c>
      <c r="I344" s="124">
        <f t="shared" si="139"/>
        <v>29981.4</v>
      </c>
      <c r="J344" s="124">
        <f t="shared" si="145"/>
        <v>6167.6022857142862</v>
      </c>
      <c r="K344" s="125">
        <v>0</v>
      </c>
      <c r="L344" s="50"/>
      <c r="M344" s="460">
        <v>2998.1400000000003</v>
      </c>
      <c r="N344" s="87">
        <f t="shared" si="143"/>
        <v>3237.9912000000004</v>
      </c>
      <c r="O344" s="34">
        <v>70</v>
      </c>
      <c r="P344" s="34">
        <v>14.4</v>
      </c>
      <c r="Q344" s="51">
        <v>43529</v>
      </c>
      <c r="R344" s="36">
        <v>0</v>
      </c>
      <c r="S344" s="103">
        <f t="shared" si="140"/>
        <v>3237.9912000000004</v>
      </c>
      <c r="T344" s="38">
        <f t="shared" si="144"/>
        <v>2998.1400000000003</v>
      </c>
      <c r="U344" s="259">
        <v>0</v>
      </c>
      <c r="V344" s="39">
        <v>0.08</v>
      </c>
      <c r="W344" s="40">
        <v>44377</v>
      </c>
      <c r="X344" s="41">
        <f t="shared" si="141"/>
        <v>27</v>
      </c>
      <c r="Y344" s="42">
        <f t="shared" si="142"/>
        <v>2.25</v>
      </c>
    </row>
    <row r="345" spans="1:25" ht="13.5" thickBot="1" x14ac:dyDescent="0.25">
      <c r="B345" s="43" t="s">
        <v>355</v>
      </c>
      <c r="C345" s="89" t="s">
        <v>342</v>
      </c>
      <c r="D345" s="27" t="s">
        <v>34</v>
      </c>
      <c r="E345" s="46">
        <v>37695</v>
      </c>
      <c r="F345" s="124">
        <v>2571.4454000000005</v>
      </c>
      <c r="G345" s="124">
        <v>0</v>
      </c>
      <c r="H345" s="124">
        <v>209</v>
      </c>
      <c r="I345" s="124">
        <f t="shared" si="139"/>
        <v>25714.454000000005</v>
      </c>
      <c r="J345" s="124">
        <f t="shared" si="145"/>
        <v>7053.1073828571434</v>
      </c>
      <c r="K345" s="125">
        <f>F345/7*12+R345+R345</f>
        <v>5466.8321142857149</v>
      </c>
      <c r="L345" s="31"/>
      <c r="M345" s="460">
        <v>2571.4454000000005</v>
      </c>
      <c r="N345" s="87">
        <f t="shared" si="143"/>
        <v>2777.1610320000009</v>
      </c>
      <c r="O345" s="34">
        <v>70</v>
      </c>
      <c r="P345" s="34">
        <v>19.2</v>
      </c>
      <c r="Q345" s="51">
        <v>37695</v>
      </c>
      <c r="R345" s="36">
        <v>529.32000000000005</v>
      </c>
      <c r="S345" s="103">
        <f t="shared" si="140"/>
        <v>2777.1610320000009</v>
      </c>
      <c r="T345" s="38">
        <f t="shared" si="144"/>
        <v>2571.4454000000005</v>
      </c>
      <c r="U345" s="259">
        <v>0</v>
      </c>
      <c r="V345" s="39">
        <v>0.08</v>
      </c>
      <c r="W345" s="40">
        <v>44377</v>
      </c>
      <c r="X345" s="41">
        <f t="shared" si="141"/>
        <v>219</v>
      </c>
      <c r="Y345" s="42">
        <f t="shared" si="142"/>
        <v>18.25</v>
      </c>
    </row>
    <row r="346" spans="1:25" ht="13.5" thickBot="1" x14ac:dyDescent="0.25">
      <c r="B346" s="285" t="s">
        <v>356</v>
      </c>
      <c r="C346" s="105" t="s">
        <v>342</v>
      </c>
      <c r="D346" s="27" t="s">
        <v>34</v>
      </c>
      <c r="E346" s="308">
        <v>43346</v>
      </c>
      <c r="F346" s="124">
        <v>2998.4931000000006</v>
      </c>
      <c r="G346" s="124">
        <v>0</v>
      </c>
      <c r="H346" s="124">
        <v>209</v>
      </c>
      <c r="I346" s="124">
        <f t="shared" si="139"/>
        <v>29984.931000000004</v>
      </c>
      <c r="J346" s="124">
        <f t="shared" si="145"/>
        <v>6168.3286628571441</v>
      </c>
      <c r="K346" s="125">
        <v>0</v>
      </c>
      <c r="L346" s="50"/>
      <c r="M346" s="460">
        <v>2998.4931000000006</v>
      </c>
      <c r="N346" s="87">
        <f t="shared" si="143"/>
        <v>3238.3725480000007</v>
      </c>
      <c r="O346" s="34">
        <v>70</v>
      </c>
      <c r="P346" s="34">
        <v>14.4</v>
      </c>
      <c r="Q346" s="51">
        <v>43346</v>
      </c>
      <c r="R346" s="36">
        <v>0</v>
      </c>
      <c r="S346" s="103">
        <f t="shared" si="140"/>
        <v>3238.3725480000007</v>
      </c>
      <c r="T346" s="38">
        <f t="shared" si="144"/>
        <v>2998.4931000000006</v>
      </c>
      <c r="U346" s="259">
        <v>0</v>
      </c>
      <c r="V346" s="39">
        <v>0.08</v>
      </c>
      <c r="W346" s="40">
        <v>44377</v>
      </c>
      <c r="X346" s="41">
        <f t="shared" si="141"/>
        <v>33</v>
      </c>
      <c r="Y346" s="42">
        <f t="shared" si="142"/>
        <v>2.75</v>
      </c>
    </row>
    <row r="347" spans="1:25" ht="13.5" thickBot="1" x14ac:dyDescent="0.25">
      <c r="B347" s="285" t="s">
        <v>357</v>
      </c>
      <c r="C347" s="105" t="s">
        <v>342</v>
      </c>
      <c r="D347" s="27" t="s">
        <v>34</v>
      </c>
      <c r="E347" s="308">
        <v>43267</v>
      </c>
      <c r="F347" s="124">
        <v>2998.4931000000006</v>
      </c>
      <c r="G347" s="124">
        <v>0</v>
      </c>
      <c r="H347" s="124">
        <v>209</v>
      </c>
      <c r="I347" s="124">
        <f t="shared" si="139"/>
        <v>29984.931000000004</v>
      </c>
      <c r="J347" s="124">
        <f t="shared" si="145"/>
        <v>6168.3286628571441</v>
      </c>
      <c r="K347" s="125">
        <v>0</v>
      </c>
      <c r="L347" s="50"/>
      <c r="M347" s="460">
        <v>2998.4931000000006</v>
      </c>
      <c r="N347" s="87">
        <f t="shared" si="143"/>
        <v>3238.3725480000007</v>
      </c>
      <c r="O347" s="34">
        <v>70</v>
      </c>
      <c r="P347" s="34">
        <v>14.4</v>
      </c>
      <c r="Q347" s="51">
        <v>43267</v>
      </c>
      <c r="R347" s="36">
        <v>0</v>
      </c>
      <c r="S347" s="103">
        <f t="shared" si="140"/>
        <v>3238.3725480000007</v>
      </c>
      <c r="T347" s="38">
        <f t="shared" si="144"/>
        <v>2998.4931000000006</v>
      </c>
      <c r="U347" s="259">
        <v>0</v>
      </c>
      <c r="V347" s="39">
        <v>0.08</v>
      </c>
      <c r="W347" s="40">
        <v>44377</v>
      </c>
      <c r="X347" s="41">
        <f t="shared" si="141"/>
        <v>36</v>
      </c>
      <c r="Y347" s="42">
        <f t="shared" si="142"/>
        <v>3</v>
      </c>
    </row>
    <row r="348" spans="1:25" ht="13.5" thickBot="1" x14ac:dyDescent="0.25">
      <c r="B348" s="43" t="s">
        <v>358</v>
      </c>
      <c r="C348" s="105" t="s">
        <v>345</v>
      </c>
      <c r="D348" s="27" t="s">
        <v>34</v>
      </c>
      <c r="E348" s="46">
        <v>42777</v>
      </c>
      <c r="F348" s="124">
        <v>3752</v>
      </c>
      <c r="G348" s="124">
        <v>0</v>
      </c>
      <c r="H348" s="124">
        <v>209</v>
      </c>
      <c r="I348" s="124">
        <f t="shared" si="139"/>
        <v>37520</v>
      </c>
      <c r="J348" s="124">
        <f t="shared" si="145"/>
        <v>9004.8000000000011</v>
      </c>
      <c r="K348" s="125">
        <v>0</v>
      </c>
      <c r="L348" s="31"/>
      <c r="M348" s="460">
        <v>3752</v>
      </c>
      <c r="N348" s="87">
        <f t="shared" si="143"/>
        <v>4052.1600000000003</v>
      </c>
      <c r="O348" s="34">
        <v>70</v>
      </c>
      <c r="P348" s="34">
        <v>16.8</v>
      </c>
      <c r="Q348" s="51">
        <v>42777</v>
      </c>
      <c r="R348" s="36">
        <v>0</v>
      </c>
      <c r="S348" s="103">
        <f t="shared" si="140"/>
        <v>4052.1600000000003</v>
      </c>
      <c r="T348" s="38">
        <f t="shared" si="144"/>
        <v>3752</v>
      </c>
      <c r="U348" s="259">
        <v>0</v>
      </c>
      <c r="V348" s="39">
        <v>0.08</v>
      </c>
      <c r="W348" s="40">
        <v>44377</v>
      </c>
      <c r="X348" s="41">
        <f t="shared" si="141"/>
        <v>52</v>
      </c>
      <c r="Y348" s="42">
        <f t="shared" si="142"/>
        <v>4.333333333333333</v>
      </c>
    </row>
    <row r="349" spans="1:25" ht="13.5" thickBot="1" x14ac:dyDescent="0.25">
      <c r="B349" s="254" t="s">
        <v>359</v>
      </c>
      <c r="C349" s="89" t="s">
        <v>345</v>
      </c>
      <c r="D349" s="27" t="s">
        <v>34</v>
      </c>
      <c r="E349" s="225">
        <v>42847</v>
      </c>
      <c r="F349" s="124">
        <v>3752</v>
      </c>
      <c r="G349" s="124">
        <v>0</v>
      </c>
      <c r="H349" s="124">
        <v>209</v>
      </c>
      <c r="I349" s="124">
        <f t="shared" si="139"/>
        <v>37520</v>
      </c>
      <c r="J349" s="124">
        <f t="shared" si="145"/>
        <v>9004.8000000000011</v>
      </c>
      <c r="K349" s="125">
        <v>0</v>
      </c>
      <c r="L349" s="31"/>
      <c r="M349" s="460">
        <v>3752</v>
      </c>
      <c r="N349" s="87">
        <f t="shared" si="143"/>
        <v>4052.1600000000003</v>
      </c>
      <c r="O349" s="34">
        <v>70</v>
      </c>
      <c r="P349" s="34">
        <v>16.8</v>
      </c>
      <c r="Q349" s="309">
        <v>42847</v>
      </c>
      <c r="R349" s="36">
        <v>0</v>
      </c>
      <c r="S349" s="103">
        <f t="shared" si="140"/>
        <v>4052.1600000000003</v>
      </c>
      <c r="T349" s="38">
        <f t="shared" si="144"/>
        <v>3752</v>
      </c>
      <c r="U349" s="259">
        <v>0</v>
      </c>
      <c r="V349" s="39">
        <v>0.08</v>
      </c>
      <c r="W349" s="40">
        <v>44377</v>
      </c>
      <c r="X349" s="41">
        <f t="shared" si="141"/>
        <v>50</v>
      </c>
      <c r="Y349" s="42">
        <f t="shared" si="142"/>
        <v>4.166666666666667</v>
      </c>
    </row>
    <row r="350" spans="1:25" ht="13.5" thickBot="1" x14ac:dyDescent="0.25">
      <c r="B350" s="254" t="s">
        <v>360</v>
      </c>
      <c r="C350" s="89" t="s">
        <v>361</v>
      </c>
      <c r="D350" s="27" t="s">
        <v>34</v>
      </c>
      <c r="E350" s="225">
        <v>43348</v>
      </c>
      <c r="F350" s="124">
        <v>3752.4900000000002</v>
      </c>
      <c r="G350" s="124">
        <v>0</v>
      </c>
      <c r="H350" s="124">
        <v>209</v>
      </c>
      <c r="I350" s="124">
        <f t="shared" si="139"/>
        <v>37524.9</v>
      </c>
      <c r="J350" s="124">
        <f t="shared" si="145"/>
        <v>7719.4080000000013</v>
      </c>
      <c r="K350" s="125">
        <v>0</v>
      </c>
      <c r="L350" s="50"/>
      <c r="M350" s="460">
        <v>3752.4900000000002</v>
      </c>
      <c r="N350" s="87">
        <f t="shared" si="143"/>
        <v>4052.6892000000007</v>
      </c>
      <c r="O350" s="34">
        <v>70</v>
      </c>
      <c r="P350" s="34">
        <v>14.4</v>
      </c>
      <c r="Q350" s="51">
        <v>43348</v>
      </c>
      <c r="R350" s="36">
        <v>0</v>
      </c>
      <c r="S350" s="103">
        <f t="shared" si="140"/>
        <v>4052.6892000000007</v>
      </c>
      <c r="T350" s="38">
        <f t="shared" si="144"/>
        <v>3752.4900000000002</v>
      </c>
      <c r="U350" s="259">
        <v>0</v>
      </c>
      <c r="V350" s="39">
        <v>0.08</v>
      </c>
      <c r="W350" s="40">
        <v>44377</v>
      </c>
      <c r="X350" s="41">
        <f t="shared" si="141"/>
        <v>33</v>
      </c>
      <c r="Y350" s="42">
        <f t="shared" si="142"/>
        <v>2.75</v>
      </c>
    </row>
    <row r="351" spans="1:25" ht="13.5" thickBot="1" x14ac:dyDescent="0.25">
      <c r="B351" s="254" t="s">
        <v>362</v>
      </c>
      <c r="C351" s="89" t="s">
        <v>342</v>
      </c>
      <c r="D351" s="27" t="s">
        <v>34</v>
      </c>
      <c r="E351" s="225">
        <v>43297</v>
      </c>
      <c r="F351" s="124">
        <v>2998.4931000000006</v>
      </c>
      <c r="G351" s="124">
        <v>0</v>
      </c>
      <c r="H351" s="124">
        <v>209</v>
      </c>
      <c r="I351" s="124">
        <f t="shared" si="139"/>
        <v>29984.931000000004</v>
      </c>
      <c r="J351" s="124">
        <f t="shared" si="145"/>
        <v>6168.3286628571441</v>
      </c>
      <c r="K351" s="125">
        <v>0</v>
      </c>
      <c r="L351" s="50"/>
      <c r="M351" s="460">
        <v>2998.4931000000006</v>
      </c>
      <c r="N351" s="87">
        <f t="shared" si="143"/>
        <v>3238.3725480000007</v>
      </c>
      <c r="O351" s="34">
        <v>70</v>
      </c>
      <c r="P351" s="34">
        <v>14.4</v>
      </c>
      <c r="Q351" s="51">
        <v>43297</v>
      </c>
      <c r="R351" s="36">
        <v>0</v>
      </c>
      <c r="S351" s="103">
        <f t="shared" si="140"/>
        <v>3238.3725480000007</v>
      </c>
      <c r="T351" s="38">
        <f t="shared" si="144"/>
        <v>2998.4931000000006</v>
      </c>
      <c r="U351" s="259">
        <v>0</v>
      </c>
      <c r="V351" s="39">
        <v>0.08</v>
      </c>
      <c r="W351" s="40">
        <v>44377</v>
      </c>
      <c r="X351" s="41">
        <f t="shared" si="141"/>
        <v>35</v>
      </c>
      <c r="Y351" s="42">
        <f t="shared" si="142"/>
        <v>2.9166666666666665</v>
      </c>
    </row>
    <row r="352" spans="1:25" ht="13.5" thickBot="1" x14ac:dyDescent="0.25">
      <c r="B352" s="254" t="s">
        <v>363</v>
      </c>
      <c r="C352" s="89" t="s">
        <v>345</v>
      </c>
      <c r="D352" s="27" t="s">
        <v>34</v>
      </c>
      <c r="E352" s="225">
        <v>42847</v>
      </c>
      <c r="F352" s="124">
        <v>3752</v>
      </c>
      <c r="G352" s="124">
        <v>0</v>
      </c>
      <c r="H352" s="124">
        <v>209</v>
      </c>
      <c r="I352" s="124">
        <f t="shared" si="139"/>
        <v>37520</v>
      </c>
      <c r="J352" s="124">
        <f t="shared" si="145"/>
        <v>9004.8000000000011</v>
      </c>
      <c r="K352" s="125">
        <v>0</v>
      </c>
      <c r="L352" s="50"/>
      <c r="M352" s="460">
        <v>3752</v>
      </c>
      <c r="N352" s="87">
        <f t="shared" si="143"/>
        <v>4052.1600000000003</v>
      </c>
      <c r="O352" s="34">
        <v>70</v>
      </c>
      <c r="P352" s="34">
        <v>16.8</v>
      </c>
      <c r="Q352" s="309">
        <v>42847</v>
      </c>
      <c r="R352" s="36">
        <v>0</v>
      </c>
      <c r="S352" s="103">
        <f t="shared" si="140"/>
        <v>4052.1600000000003</v>
      </c>
      <c r="T352" s="38">
        <f t="shared" si="144"/>
        <v>3752</v>
      </c>
      <c r="U352" s="259">
        <v>0</v>
      </c>
      <c r="V352" s="39">
        <v>0.08</v>
      </c>
      <c r="W352" s="40">
        <v>44377</v>
      </c>
      <c r="X352" s="41">
        <f t="shared" si="141"/>
        <v>50</v>
      </c>
      <c r="Y352" s="42">
        <f t="shared" si="142"/>
        <v>4.166666666666667</v>
      </c>
    </row>
    <row r="353" spans="2:25" ht="13.5" thickBot="1" x14ac:dyDescent="0.25">
      <c r="B353" s="285" t="s">
        <v>364</v>
      </c>
      <c r="C353" s="89" t="s">
        <v>342</v>
      </c>
      <c r="D353" s="27" t="s">
        <v>34</v>
      </c>
      <c r="E353" s="308">
        <v>43406</v>
      </c>
      <c r="F353" s="124">
        <v>2998.4931000000006</v>
      </c>
      <c r="G353" s="124">
        <v>0</v>
      </c>
      <c r="H353" s="226">
        <v>209</v>
      </c>
      <c r="I353" s="124">
        <f t="shared" si="139"/>
        <v>29984.931000000004</v>
      </c>
      <c r="J353" s="124">
        <f t="shared" si="145"/>
        <v>6168.3286628571441</v>
      </c>
      <c r="K353" s="125">
        <v>0</v>
      </c>
      <c r="L353" s="50"/>
      <c r="M353" s="460">
        <v>2998.4931000000006</v>
      </c>
      <c r="N353" s="87">
        <f t="shared" si="143"/>
        <v>3238.3725480000007</v>
      </c>
      <c r="O353" s="34">
        <v>70</v>
      </c>
      <c r="P353" s="34">
        <v>14.4</v>
      </c>
      <c r="Q353" s="51">
        <v>43406</v>
      </c>
      <c r="R353" s="36">
        <v>0</v>
      </c>
      <c r="S353" s="103">
        <f t="shared" si="140"/>
        <v>3238.3725480000007</v>
      </c>
      <c r="T353" s="38">
        <f t="shared" si="144"/>
        <v>2998.4931000000006</v>
      </c>
      <c r="U353" s="259">
        <v>0</v>
      </c>
      <c r="V353" s="39">
        <v>0.08</v>
      </c>
      <c r="W353" s="40">
        <v>44377</v>
      </c>
      <c r="X353" s="41">
        <f t="shared" si="141"/>
        <v>31</v>
      </c>
      <c r="Y353" s="42">
        <f t="shared" si="142"/>
        <v>2.5833333333333335</v>
      </c>
    </row>
    <row r="354" spans="2:25" ht="13.5" thickBot="1" x14ac:dyDescent="0.25">
      <c r="B354" s="43" t="s">
        <v>365</v>
      </c>
      <c r="C354" s="105" t="s">
        <v>342</v>
      </c>
      <c r="D354" s="27" t="s">
        <v>34</v>
      </c>
      <c r="E354" s="46">
        <v>43347</v>
      </c>
      <c r="F354" s="124">
        <v>2998.4931000000006</v>
      </c>
      <c r="G354" s="124">
        <v>0</v>
      </c>
      <c r="H354" s="226">
        <v>209</v>
      </c>
      <c r="I354" s="124">
        <f t="shared" si="139"/>
        <v>29984.931000000004</v>
      </c>
      <c r="J354" s="124">
        <f t="shared" si="145"/>
        <v>6168.3286628571441</v>
      </c>
      <c r="K354" s="125">
        <v>0</v>
      </c>
      <c r="L354" s="50"/>
      <c r="M354" s="460">
        <v>2998.4931000000006</v>
      </c>
      <c r="N354" s="87">
        <f t="shared" si="143"/>
        <v>3238.3725480000007</v>
      </c>
      <c r="O354" s="34">
        <v>70</v>
      </c>
      <c r="P354" s="34">
        <v>14.4</v>
      </c>
      <c r="Q354" s="51">
        <v>43347</v>
      </c>
      <c r="R354" s="36">
        <v>0</v>
      </c>
      <c r="S354" s="103">
        <f t="shared" si="140"/>
        <v>3238.3725480000007</v>
      </c>
      <c r="T354" s="38">
        <f t="shared" si="144"/>
        <v>2998.4931000000006</v>
      </c>
      <c r="U354" s="259">
        <v>0</v>
      </c>
      <c r="V354" s="39">
        <v>0.08</v>
      </c>
      <c r="W354" s="40">
        <v>44377</v>
      </c>
      <c r="X354" s="41">
        <f t="shared" si="141"/>
        <v>33</v>
      </c>
      <c r="Y354" s="42">
        <f t="shared" si="142"/>
        <v>2.75</v>
      </c>
    </row>
    <row r="355" spans="2:25" ht="13.5" thickBot="1" x14ac:dyDescent="0.25">
      <c r="B355" s="254" t="s">
        <v>366</v>
      </c>
      <c r="C355" s="89" t="s">
        <v>367</v>
      </c>
      <c r="D355" s="27" t="s">
        <v>34</v>
      </c>
      <c r="E355" s="225">
        <v>42637</v>
      </c>
      <c r="F355" s="124">
        <v>3867.4722000000002</v>
      </c>
      <c r="G355" s="124">
        <v>0</v>
      </c>
      <c r="H355" s="226">
        <v>209</v>
      </c>
      <c r="I355" s="124">
        <f t="shared" si="139"/>
        <v>38674.722000000002</v>
      </c>
      <c r="J355" s="124">
        <f t="shared" si="145"/>
        <v>9281.9332800000011</v>
      </c>
      <c r="K355" s="125">
        <v>0</v>
      </c>
      <c r="L355" s="50"/>
      <c r="M355" s="460">
        <v>3867.4722000000002</v>
      </c>
      <c r="N355" s="87">
        <f t="shared" si="143"/>
        <v>4176.8699760000009</v>
      </c>
      <c r="O355" s="34">
        <v>70</v>
      </c>
      <c r="P355" s="34">
        <v>16.8</v>
      </c>
      <c r="Q355" s="51">
        <v>42637</v>
      </c>
      <c r="R355" s="36">
        <v>0</v>
      </c>
      <c r="S355" s="103">
        <f t="shared" si="140"/>
        <v>4176.8699760000009</v>
      </c>
      <c r="T355" s="38">
        <f t="shared" si="144"/>
        <v>3867.4722000000006</v>
      </c>
      <c r="U355" s="259">
        <v>0</v>
      </c>
      <c r="V355" s="39">
        <v>0.08</v>
      </c>
      <c r="W355" s="40">
        <v>44377</v>
      </c>
      <c r="X355" s="41">
        <f t="shared" si="141"/>
        <v>57</v>
      </c>
      <c r="Y355" s="42">
        <f t="shared" si="142"/>
        <v>4.75</v>
      </c>
    </row>
    <row r="356" spans="2:25" ht="13.5" thickBot="1" x14ac:dyDescent="0.25">
      <c r="B356" s="43" t="s">
        <v>368</v>
      </c>
      <c r="C356" s="89" t="s">
        <v>342</v>
      </c>
      <c r="D356" s="27" t="s">
        <v>34</v>
      </c>
      <c r="E356" s="46">
        <v>43401</v>
      </c>
      <c r="F356" s="124">
        <v>2998.4931000000006</v>
      </c>
      <c r="G356" s="124">
        <v>0</v>
      </c>
      <c r="H356" s="48">
        <v>209</v>
      </c>
      <c r="I356" s="124">
        <f t="shared" si="139"/>
        <v>29984.931000000004</v>
      </c>
      <c r="J356" s="124">
        <f t="shared" si="145"/>
        <v>6168.3286628571441</v>
      </c>
      <c r="K356" s="125">
        <v>0</v>
      </c>
      <c r="L356" s="50"/>
      <c r="M356" s="460">
        <v>2998.4931000000006</v>
      </c>
      <c r="N356" s="87">
        <f t="shared" si="143"/>
        <v>3238.3725480000007</v>
      </c>
      <c r="O356" s="34">
        <v>70</v>
      </c>
      <c r="P356" s="34">
        <v>14.4</v>
      </c>
      <c r="Q356" s="51">
        <v>43401</v>
      </c>
      <c r="R356" s="36">
        <v>0</v>
      </c>
      <c r="S356" s="103">
        <f t="shared" si="140"/>
        <v>3238.3725480000007</v>
      </c>
      <c r="T356" s="38">
        <f t="shared" si="144"/>
        <v>2998.4931000000006</v>
      </c>
      <c r="U356" s="259">
        <v>0</v>
      </c>
      <c r="V356" s="39">
        <v>0.08</v>
      </c>
      <c r="W356" s="40">
        <v>44377</v>
      </c>
      <c r="X356" s="41">
        <f t="shared" si="141"/>
        <v>32</v>
      </c>
      <c r="Y356" s="42">
        <f t="shared" si="142"/>
        <v>2.6666666666666665</v>
      </c>
    </row>
    <row r="357" spans="2:25" x14ac:dyDescent="0.2">
      <c r="B357" s="310" t="s">
        <v>369</v>
      </c>
      <c r="C357" s="105" t="s">
        <v>342</v>
      </c>
      <c r="D357" s="27" t="s">
        <v>34</v>
      </c>
      <c r="E357" s="46">
        <v>43974</v>
      </c>
      <c r="F357" s="124">
        <v>2998.4931000000006</v>
      </c>
      <c r="G357" s="124">
        <v>0</v>
      </c>
      <c r="H357" s="48">
        <v>209</v>
      </c>
      <c r="I357" s="124">
        <f t="shared" si="139"/>
        <v>29984.931000000004</v>
      </c>
      <c r="J357" s="124">
        <f t="shared" si="145"/>
        <v>6168.3286628571441</v>
      </c>
      <c r="K357" s="125">
        <v>0</v>
      </c>
      <c r="L357" s="50"/>
      <c r="M357" s="460">
        <v>2998.4931000000006</v>
      </c>
      <c r="N357" s="87">
        <f t="shared" si="143"/>
        <v>3238.3725480000007</v>
      </c>
      <c r="O357" s="34">
        <v>70</v>
      </c>
      <c r="P357" s="34">
        <v>14.4</v>
      </c>
      <c r="Q357" s="51">
        <v>43974</v>
      </c>
      <c r="R357" s="36">
        <v>0</v>
      </c>
      <c r="S357" s="103">
        <f t="shared" si="140"/>
        <v>3238.3725480000007</v>
      </c>
      <c r="T357" s="38">
        <f t="shared" si="144"/>
        <v>2998.4931000000006</v>
      </c>
      <c r="U357" s="259">
        <v>0</v>
      </c>
      <c r="V357" s="39">
        <v>0.08</v>
      </c>
      <c r="W357" s="40">
        <v>44377</v>
      </c>
      <c r="X357" s="41">
        <f t="shared" si="141"/>
        <v>13</v>
      </c>
      <c r="Y357" s="42">
        <f t="shared" si="142"/>
        <v>1.0833333333333333</v>
      </c>
    </row>
    <row r="358" spans="2:25" ht="13.5" thickBot="1" x14ac:dyDescent="0.25">
      <c r="B358" s="227"/>
      <c r="C358" s="110"/>
      <c r="D358" s="111"/>
      <c r="E358" s="206"/>
      <c r="F358" s="228"/>
      <c r="G358" s="228"/>
      <c r="H358" s="230"/>
      <c r="I358" s="228"/>
      <c r="J358" s="228"/>
      <c r="K358" s="114"/>
      <c r="L358" s="50"/>
      <c r="M358" s="84"/>
      <c r="N358" s="64"/>
      <c r="Q358" s="206"/>
      <c r="S358" s="84"/>
      <c r="U358" s="172"/>
      <c r="V358" s="66"/>
      <c r="W358" s="67"/>
      <c r="X358" s="68"/>
    </row>
    <row r="359" spans="2:25" ht="26.25" customHeight="1" x14ac:dyDescent="0.2">
      <c r="B359" s="69" t="s">
        <v>39</v>
      </c>
      <c r="C359" s="69" t="s">
        <v>40</v>
      </c>
      <c r="D359" s="292"/>
      <c r="E359" s="311" t="s">
        <v>370</v>
      </c>
      <c r="F359" s="239">
        <f>SUM(F333:F357)</f>
        <v>80677.60480000003</v>
      </c>
      <c r="G359" s="239">
        <f t="shared" ref="G359" si="146">SUM(G334:G356)</f>
        <v>0</v>
      </c>
      <c r="H359" s="239">
        <f>SUM(H333:H357)</f>
        <v>5175</v>
      </c>
      <c r="I359" s="239">
        <f>SUM(I333:I357)</f>
        <v>806776.04799999995</v>
      </c>
      <c r="J359" s="239">
        <f t="shared" ref="J359:K359" si="147">SUM(J333:J357)</f>
        <v>171374.06852571433</v>
      </c>
      <c r="K359" s="239">
        <f t="shared" si="147"/>
        <v>18378.900685714289</v>
      </c>
      <c r="L359" s="50"/>
      <c r="M359" s="84"/>
      <c r="N359" s="64"/>
      <c r="Q359" s="206"/>
      <c r="S359" s="84"/>
      <c r="U359" s="172"/>
      <c r="V359" s="66"/>
      <c r="W359" s="67"/>
      <c r="X359" s="68"/>
    </row>
    <row r="360" spans="2:25" ht="19.5" customHeight="1" thickBot="1" x14ac:dyDescent="0.25">
      <c r="B360" s="69" t="s">
        <v>43</v>
      </c>
      <c r="C360" s="69" t="s">
        <v>44</v>
      </c>
      <c r="E360" s="232" t="s">
        <v>46</v>
      </c>
      <c r="F360" s="241">
        <f>F359/7*365</f>
        <v>4206760.8217142876</v>
      </c>
      <c r="G360" s="241">
        <f>G359*6</f>
        <v>0</v>
      </c>
      <c r="H360" s="241">
        <f>H359*52</f>
        <v>269100</v>
      </c>
      <c r="I360" s="241">
        <f>I359</f>
        <v>806776.04799999995</v>
      </c>
      <c r="J360" s="241">
        <f>J359</f>
        <v>171374.06852571433</v>
      </c>
      <c r="K360" s="312">
        <f>K359</f>
        <v>18378.900685714289</v>
      </c>
      <c r="L360" s="50"/>
      <c r="M360" s="77">
        <f>SUM(F360:K360)</f>
        <v>5472389.8389257174</v>
      </c>
      <c r="N360" s="78"/>
      <c r="O360" s="80"/>
      <c r="P360" s="80"/>
      <c r="Q360" s="176"/>
      <c r="R360" s="81">
        <f>SUM(R334:R356)</f>
        <v>1199.6400000000001</v>
      </c>
      <c r="S360" s="103">
        <f>M360*(1+V360)</f>
        <v>5910181.0260397755</v>
      </c>
      <c r="T360" s="77"/>
      <c r="U360" s="177">
        <f>SUM(U334:U356)</f>
        <v>0</v>
      </c>
      <c r="V360" s="82">
        <v>0.08</v>
      </c>
      <c r="W360" s="83"/>
      <c r="X360" s="178"/>
      <c r="Y360" s="179"/>
    </row>
    <row r="361" spans="2:25" x14ac:dyDescent="0.2">
      <c r="B361" s="227"/>
      <c r="C361" s="110"/>
      <c r="D361" s="111"/>
      <c r="E361" s="206"/>
      <c r="F361" s="228"/>
      <c r="G361" s="228"/>
      <c r="H361" s="230"/>
      <c r="I361" s="228"/>
      <c r="J361" s="228"/>
      <c r="K361" s="114"/>
      <c r="L361" s="50"/>
      <c r="M361" s="84"/>
      <c r="N361" s="64"/>
      <c r="Q361" s="206"/>
      <c r="S361" s="84"/>
      <c r="U361" s="172"/>
      <c r="V361" s="66"/>
      <c r="W361" s="67"/>
      <c r="X361" s="68"/>
    </row>
    <row r="362" spans="2:25" ht="15" x14ac:dyDescent="0.25">
      <c r="B362" s="13"/>
      <c r="C362" s="13"/>
      <c r="D362" s="13" t="s">
        <v>639</v>
      </c>
      <c r="E362" s="13"/>
      <c r="F362" s="13"/>
      <c r="G362" s="13"/>
      <c r="H362" s="13"/>
      <c r="I362" s="14"/>
      <c r="J362" s="13"/>
      <c r="K362" s="13"/>
      <c r="L362" s="15"/>
      <c r="N362" s="64"/>
      <c r="Q362" s="206"/>
      <c r="S362" s="84"/>
      <c r="V362" s="66"/>
      <c r="W362" s="67"/>
      <c r="X362" s="68"/>
    </row>
    <row r="363" spans="2:25" ht="15" x14ac:dyDescent="0.25">
      <c r="B363" s="16" t="s">
        <v>4</v>
      </c>
      <c r="C363" s="16"/>
      <c r="D363" s="13" t="s">
        <v>339</v>
      </c>
      <c r="E363" s="13"/>
      <c r="F363" s="14"/>
      <c r="G363" s="14"/>
      <c r="H363" s="476"/>
      <c r="I363" s="476"/>
      <c r="J363" s="14"/>
      <c r="K363" s="17"/>
      <c r="L363" s="18"/>
      <c r="N363" s="64"/>
      <c r="Q363" s="206"/>
      <c r="S363" s="84"/>
      <c r="V363" s="66"/>
      <c r="W363" s="67"/>
      <c r="X363" s="68"/>
    </row>
    <row r="364" spans="2:25" ht="15.75" thickBot="1" x14ac:dyDescent="0.3">
      <c r="B364" s="18"/>
      <c r="C364" s="18"/>
      <c r="D364" s="245"/>
      <c r="E364" s="245"/>
      <c r="F364" s="15"/>
      <c r="G364" s="15"/>
      <c r="H364" s="15"/>
      <c r="I364" s="15"/>
      <c r="J364" s="15"/>
      <c r="K364" s="116"/>
      <c r="L364" s="18"/>
      <c r="N364" s="64"/>
      <c r="Q364" s="206"/>
      <c r="S364" s="84"/>
      <c r="V364" s="66"/>
      <c r="W364" s="67"/>
      <c r="X364" s="68"/>
    </row>
    <row r="365" spans="2:25" ht="12.75" customHeight="1" x14ac:dyDescent="0.2">
      <c r="B365" s="503" t="s">
        <v>6</v>
      </c>
      <c r="C365" s="499" t="s">
        <v>7</v>
      </c>
      <c r="D365" s="499" t="s">
        <v>8</v>
      </c>
      <c r="E365" s="499" t="s">
        <v>9</v>
      </c>
      <c r="F365" s="505" t="s">
        <v>340</v>
      </c>
      <c r="G365" s="483" t="s">
        <v>11</v>
      </c>
      <c r="H365" s="509" t="s">
        <v>12</v>
      </c>
      <c r="I365" s="499" t="s">
        <v>13</v>
      </c>
      <c r="J365" s="499" t="s">
        <v>14</v>
      </c>
      <c r="K365" s="501" t="s">
        <v>15</v>
      </c>
      <c r="L365" s="23"/>
      <c r="M365" s="495" t="s">
        <v>16</v>
      </c>
      <c r="N365" s="495" t="s">
        <v>17</v>
      </c>
      <c r="O365" s="489" t="s">
        <v>18</v>
      </c>
      <c r="P365" s="489" t="s">
        <v>19</v>
      </c>
      <c r="Q365" s="489" t="s">
        <v>20</v>
      </c>
      <c r="R365" s="490" t="s">
        <v>21</v>
      </c>
      <c r="S365" s="495" t="s">
        <v>22</v>
      </c>
      <c r="T365" s="495" t="s">
        <v>16</v>
      </c>
      <c r="U365" s="498" t="s">
        <v>23</v>
      </c>
      <c r="V365" s="498" t="s">
        <v>24</v>
      </c>
      <c r="W365" s="489" t="s">
        <v>25</v>
      </c>
      <c r="X365" s="489" t="s">
        <v>26</v>
      </c>
      <c r="Y365" s="497" t="s">
        <v>27</v>
      </c>
    </row>
    <row r="366" spans="2:25" ht="13.5" customHeight="1" thickBot="1" x14ac:dyDescent="0.25">
      <c r="B366" s="504"/>
      <c r="C366" s="500"/>
      <c r="D366" s="500"/>
      <c r="E366" s="500"/>
      <c r="F366" s="506"/>
      <c r="G366" s="484"/>
      <c r="H366" s="510"/>
      <c r="I366" s="500"/>
      <c r="J366" s="500"/>
      <c r="K366" s="502"/>
      <c r="L366" s="23"/>
      <c r="M366" s="495"/>
      <c r="N366" s="495"/>
      <c r="O366" s="489"/>
      <c r="P366" s="489"/>
      <c r="Q366" s="489"/>
      <c r="R366" s="490"/>
      <c r="S366" s="495"/>
      <c r="T366" s="495"/>
      <c r="U366" s="498"/>
      <c r="V366" s="498"/>
      <c r="W366" s="489"/>
      <c r="X366" s="489"/>
      <c r="Y366" s="497"/>
    </row>
    <row r="367" spans="2:25" ht="13.5" customHeight="1" thickBot="1" x14ac:dyDescent="0.25">
      <c r="B367" s="23"/>
      <c r="C367" s="23"/>
      <c r="D367" s="23"/>
      <c r="E367" s="23"/>
      <c r="F367" s="313"/>
      <c r="G367" s="313"/>
      <c r="H367" s="247"/>
      <c r="I367" s="23"/>
      <c r="J367" s="23"/>
      <c r="K367" s="248"/>
      <c r="L367" s="23"/>
      <c r="N367" s="64"/>
      <c r="Q367" s="206"/>
      <c r="S367" s="84"/>
      <c r="V367" s="66"/>
      <c r="W367" s="67"/>
      <c r="X367" s="68"/>
    </row>
    <row r="368" spans="2:25" ht="13.5" thickBot="1" x14ac:dyDescent="0.25">
      <c r="B368" s="117" t="s">
        <v>371</v>
      </c>
      <c r="C368" s="26" t="s">
        <v>367</v>
      </c>
      <c r="D368" s="27" t="s">
        <v>34</v>
      </c>
      <c r="E368" s="118">
        <v>42427</v>
      </c>
      <c r="F368" s="29">
        <v>4176.8699760000009</v>
      </c>
      <c r="G368" s="29">
        <v>0</v>
      </c>
      <c r="H368" s="85">
        <v>209</v>
      </c>
      <c r="I368" s="29">
        <f t="shared" ref="I368:I409" si="148">F368/7*O368</f>
        <v>41768.69976000001</v>
      </c>
      <c r="J368" s="29">
        <f t="shared" ref="J368:J409" si="149">F368/7*P368</f>
        <v>11456.557648457145</v>
      </c>
      <c r="K368" s="30">
        <f>F368/7*12+R368+R368</f>
        <v>7830.6685302857159</v>
      </c>
      <c r="L368" s="50"/>
      <c r="M368" s="459">
        <v>3867.4722000000002</v>
      </c>
      <c r="N368" s="87">
        <f>M368*(1+8%)</f>
        <v>4176.8699760000009</v>
      </c>
      <c r="O368" s="34">
        <v>70</v>
      </c>
      <c r="P368" s="34">
        <v>19.2</v>
      </c>
      <c r="Q368" s="51">
        <v>42427</v>
      </c>
      <c r="R368" s="36">
        <v>335.16</v>
      </c>
      <c r="S368" s="60">
        <f t="shared" ref="S368:S421" si="150">M368*(1+V368)</f>
        <v>4176.8699760000009</v>
      </c>
      <c r="T368" s="38">
        <f>S368/1.08</f>
        <v>3867.4722000000006</v>
      </c>
      <c r="U368" s="259">
        <v>0</v>
      </c>
      <c r="V368" s="39">
        <v>0.08</v>
      </c>
      <c r="W368" s="40">
        <v>44377</v>
      </c>
      <c r="X368" s="41">
        <f t="shared" ref="X368:X421" si="151">(YEAR(W368)-YEAR(E368))*12+MONTH(W368)-MONTH(E368)</f>
        <v>64</v>
      </c>
      <c r="Y368" s="42">
        <f t="shared" ref="Y368:Y421" si="152">X368/12</f>
        <v>5.333333333333333</v>
      </c>
    </row>
    <row r="369" spans="2:25" x14ac:dyDescent="0.2">
      <c r="B369" s="310" t="s">
        <v>372</v>
      </c>
      <c r="C369" s="105" t="s">
        <v>342</v>
      </c>
      <c r="D369" s="27" t="s">
        <v>34</v>
      </c>
      <c r="E369" s="46">
        <v>43946</v>
      </c>
      <c r="F369" s="124">
        <v>3238.3725480000007</v>
      </c>
      <c r="G369" s="124">
        <v>0</v>
      </c>
      <c r="H369" s="48">
        <v>209</v>
      </c>
      <c r="I369" s="124">
        <f t="shared" si="148"/>
        <v>32383.725480000005</v>
      </c>
      <c r="J369" s="124">
        <f t="shared" si="149"/>
        <v>6661.7949558857154</v>
      </c>
      <c r="K369" s="125">
        <v>0</v>
      </c>
      <c r="L369" s="50"/>
      <c r="M369" s="460">
        <v>2998.4931000000006</v>
      </c>
      <c r="N369" s="87">
        <f t="shared" ref="N369:N421" si="153">M369*(1+8%)</f>
        <v>3238.3725480000007</v>
      </c>
      <c r="O369" s="34">
        <v>70</v>
      </c>
      <c r="P369" s="34">
        <v>14.4</v>
      </c>
      <c r="Q369" s="51">
        <v>43946</v>
      </c>
      <c r="R369" s="36">
        <v>0</v>
      </c>
      <c r="S369" s="103">
        <f t="shared" si="150"/>
        <v>3238.3725480000007</v>
      </c>
      <c r="T369" s="38">
        <f t="shared" ref="T369:T421" si="154">S369/1.08</f>
        <v>2998.4931000000006</v>
      </c>
      <c r="U369" s="259">
        <v>0</v>
      </c>
      <c r="V369" s="39">
        <v>0.08</v>
      </c>
      <c r="W369" s="40">
        <v>44377</v>
      </c>
      <c r="X369" s="41">
        <f t="shared" si="151"/>
        <v>14</v>
      </c>
      <c r="Y369" s="42">
        <f t="shared" si="152"/>
        <v>1.1666666666666667</v>
      </c>
    </row>
    <row r="370" spans="2:25" x14ac:dyDescent="0.2">
      <c r="B370" s="285" t="s">
        <v>373</v>
      </c>
      <c r="C370" s="105" t="s">
        <v>342</v>
      </c>
      <c r="D370" s="90" t="s">
        <v>34</v>
      </c>
      <c r="E370" s="46">
        <v>43395</v>
      </c>
      <c r="F370" s="301">
        <v>3795.1200000000003</v>
      </c>
      <c r="G370" s="124">
        <v>0</v>
      </c>
      <c r="H370" s="48">
        <v>209</v>
      </c>
      <c r="I370" s="124">
        <f t="shared" si="148"/>
        <v>37951.200000000004</v>
      </c>
      <c r="J370" s="124">
        <f t="shared" si="149"/>
        <v>7807.1040000000012</v>
      </c>
      <c r="K370" s="125"/>
      <c r="L370" s="50"/>
      <c r="M370" s="470">
        <v>3514</v>
      </c>
      <c r="N370" s="87">
        <f t="shared" si="153"/>
        <v>3795.1200000000003</v>
      </c>
      <c r="O370" s="34">
        <v>70</v>
      </c>
      <c r="P370" s="34">
        <v>14.4</v>
      </c>
      <c r="Q370" s="51">
        <v>43395</v>
      </c>
      <c r="R370" s="36">
        <v>0</v>
      </c>
      <c r="S370" s="60">
        <f t="shared" si="150"/>
        <v>3795.1200000000003</v>
      </c>
      <c r="T370" s="38">
        <f t="shared" si="154"/>
        <v>3514</v>
      </c>
      <c r="U370" s="259">
        <v>0</v>
      </c>
      <c r="V370" s="39">
        <v>0.08</v>
      </c>
      <c r="W370" s="40">
        <v>44377</v>
      </c>
      <c r="X370" s="41">
        <f t="shared" si="151"/>
        <v>32</v>
      </c>
      <c r="Y370" s="42">
        <f t="shared" si="152"/>
        <v>2.6666666666666665</v>
      </c>
    </row>
    <row r="371" spans="2:25" x14ac:dyDescent="0.2">
      <c r="B371" s="285" t="s">
        <v>374</v>
      </c>
      <c r="C371" s="89" t="s">
        <v>342</v>
      </c>
      <c r="D371" s="90" t="s">
        <v>34</v>
      </c>
      <c r="E371" s="46">
        <v>43396</v>
      </c>
      <c r="F371" s="301">
        <v>4052.1600000000003</v>
      </c>
      <c r="G371" s="124">
        <v>0</v>
      </c>
      <c r="H371" s="226">
        <v>209</v>
      </c>
      <c r="I371" s="124">
        <f t="shared" si="148"/>
        <v>40521.599999999999</v>
      </c>
      <c r="J371" s="124">
        <f t="shared" si="149"/>
        <v>8335.8719999999994</v>
      </c>
      <c r="K371" s="125"/>
      <c r="L371" s="50"/>
      <c r="M371" s="470">
        <v>3752</v>
      </c>
      <c r="N371" s="87">
        <f t="shared" si="153"/>
        <v>4052.1600000000003</v>
      </c>
      <c r="O371" s="34">
        <v>70</v>
      </c>
      <c r="P371" s="34">
        <v>14.4</v>
      </c>
      <c r="Q371" s="51">
        <v>43396</v>
      </c>
      <c r="R371" s="36">
        <v>0</v>
      </c>
      <c r="S371" s="60">
        <f t="shared" si="150"/>
        <v>4052.1600000000003</v>
      </c>
      <c r="T371" s="38">
        <f t="shared" si="154"/>
        <v>3752</v>
      </c>
      <c r="U371" s="259">
        <v>0</v>
      </c>
      <c r="V371" s="39">
        <v>0.08</v>
      </c>
      <c r="W371" s="40">
        <v>44377</v>
      </c>
      <c r="X371" s="41">
        <f t="shared" si="151"/>
        <v>32</v>
      </c>
      <c r="Y371" s="42">
        <f t="shared" si="152"/>
        <v>2.6666666666666665</v>
      </c>
    </row>
    <row r="372" spans="2:25" x14ac:dyDescent="0.2">
      <c r="B372" s="285" t="s">
        <v>375</v>
      </c>
      <c r="C372" s="105" t="s">
        <v>342</v>
      </c>
      <c r="D372" s="90" t="s">
        <v>34</v>
      </c>
      <c r="E372" s="308">
        <v>43409</v>
      </c>
      <c r="F372" s="124">
        <v>3238.3725480000007</v>
      </c>
      <c r="G372" s="124">
        <v>0</v>
      </c>
      <c r="H372" s="314">
        <v>209</v>
      </c>
      <c r="I372" s="124">
        <f t="shared" si="148"/>
        <v>32383.725480000005</v>
      </c>
      <c r="J372" s="124">
        <f t="shared" si="149"/>
        <v>6661.7949558857154</v>
      </c>
      <c r="K372" s="125"/>
      <c r="L372" s="50"/>
      <c r="M372" s="470">
        <v>2998.4931000000006</v>
      </c>
      <c r="N372" s="87">
        <f t="shared" si="153"/>
        <v>3238.3725480000007</v>
      </c>
      <c r="O372" s="34">
        <v>70</v>
      </c>
      <c r="P372" s="34">
        <v>14.4</v>
      </c>
      <c r="Q372" s="51">
        <v>43409</v>
      </c>
      <c r="R372" s="36">
        <v>0</v>
      </c>
      <c r="S372" s="60">
        <f t="shared" si="150"/>
        <v>3238.3725480000007</v>
      </c>
      <c r="T372" s="38">
        <f t="shared" si="154"/>
        <v>2998.4931000000006</v>
      </c>
      <c r="U372" s="259">
        <v>0</v>
      </c>
      <c r="V372" s="39">
        <v>0.08</v>
      </c>
      <c r="W372" s="40">
        <v>44377</v>
      </c>
      <c r="X372" s="41">
        <f t="shared" si="151"/>
        <v>31</v>
      </c>
      <c r="Y372" s="42">
        <f t="shared" si="152"/>
        <v>2.5833333333333335</v>
      </c>
    </row>
    <row r="373" spans="2:25" x14ac:dyDescent="0.2">
      <c r="B373" s="43" t="s">
        <v>376</v>
      </c>
      <c r="C373" s="105" t="s">
        <v>342</v>
      </c>
      <c r="D373" s="90" t="s">
        <v>34</v>
      </c>
      <c r="E373" s="46">
        <v>43348</v>
      </c>
      <c r="F373" s="301">
        <v>4052.1600000000003</v>
      </c>
      <c r="G373" s="124">
        <v>0</v>
      </c>
      <c r="H373" s="314">
        <v>209</v>
      </c>
      <c r="I373" s="124">
        <f t="shared" si="148"/>
        <v>40521.599999999999</v>
      </c>
      <c r="J373" s="124">
        <f t="shared" si="149"/>
        <v>8335.8719999999994</v>
      </c>
      <c r="K373" s="125"/>
      <c r="L373" s="50"/>
      <c r="M373" s="470">
        <v>3752</v>
      </c>
      <c r="N373" s="87">
        <f t="shared" si="153"/>
        <v>4052.1600000000003</v>
      </c>
      <c r="O373" s="34">
        <v>70</v>
      </c>
      <c r="P373" s="34">
        <v>14.4</v>
      </c>
      <c r="Q373" s="51">
        <v>43348</v>
      </c>
      <c r="R373" s="36">
        <v>0</v>
      </c>
      <c r="S373" s="60">
        <f t="shared" si="150"/>
        <v>4052.1600000000003</v>
      </c>
      <c r="T373" s="38">
        <f t="shared" si="154"/>
        <v>3752</v>
      </c>
      <c r="U373" s="259">
        <v>0</v>
      </c>
      <c r="V373" s="39">
        <v>0.08</v>
      </c>
      <c r="W373" s="40">
        <v>44377</v>
      </c>
      <c r="X373" s="41">
        <f t="shared" si="151"/>
        <v>33</v>
      </c>
      <c r="Y373" s="42">
        <f t="shared" si="152"/>
        <v>2.75</v>
      </c>
    </row>
    <row r="374" spans="2:25" x14ac:dyDescent="0.2">
      <c r="B374" s="254" t="s">
        <v>377</v>
      </c>
      <c r="C374" s="89" t="s">
        <v>342</v>
      </c>
      <c r="D374" s="90" t="s">
        <v>34</v>
      </c>
      <c r="E374" s="46">
        <v>42925</v>
      </c>
      <c r="F374" s="124">
        <v>3238.3725480000007</v>
      </c>
      <c r="G374" s="124">
        <v>0</v>
      </c>
      <c r="H374" s="314">
        <v>209</v>
      </c>
      <c r="I374" s="124">
        <f t="shared" si="148"/>
        <v>32383.725480000005</v>
      </c>
      <c r="J374" s="124">
        <f t="shared" si="149"/>
        <v>7772.0941152000014</v>
      </c>
      <c r="K374" s="125"/>
      <c r="L374" s="50"/>
      <c r="M374" s="470">
        <v>2998.4931000000006</v>
      </c>
      <c r="N374" s="87">
        <f t="shared" si="153"/>
        <v>3238.3725480000007</v>
      </c>
      <c r="O374" s="34">
        <v>70</v>
      </c>
      <c r="P374" s="34">
        <v>16.8</v>
      </c>
      <c r="Q374" s="51">
        <v>42925</v>
      </c>
      <c r="R374" s="36">
        <v>0</v>
      </c>
      <c r="S374" s="60">
        <f t="shared" si="150"/>
        <v>3238.3725480000007</v>
      </c>
      <c r="T374" s="38">
        <f t="shared" si="154"/>
        <v>2998.4931000000006</v>
      </c>
      <c r="U374" s="259">
        <v>0</v>
      </c>
      <c r="V374" s="39">
        <v>0.08</v>
      </c>
      <c r="W374" s="40">
        <v>44377</v>
      </c>
      <c r="X374" s="41">
        <f t="shared" si="151"/>
        <v>47</v>
      </c>
      <c r="Y374" s="42">
        <f t="shared" si="152"/>
        <v>3.9166666666666665</v>
      </c>
    </row>
    <row r="375" spans="2:25" x14ac:dyDescent="0.2">
      <c r="B375" s="254" t="s">
        <v>378</v>
      </c>
      <c r="C375" s="89" t="s">
        <v>342</v>
      </c>
      <c r="D375" s="90" t="s">
        <v>34</v>
      </c>
      <c r="E375" s="46">
        <v>43348</v>
      </c>
      <c r="F375" s="124">
        <v>3238.3725480000007</v>
      </c>
      <c r="G375" s="124">
        <v>0</v>
      </c>
      <c r="H375" s="314">
        <v>209</v>
      </c>
      <c r="I375" s="124">
        <f t="shared" si="148"/>
        <v>32383.725480000005</v>
      </c>
      <c r="J375" s="124">
        <f t="shared" si="149"/>
        <v>6661.7949558857154</v>
      </c>
      <c r="K375" s="125"/>
      <c r="L375" s="50"/>
      <c r="M375" s="470">
        <v>2998.4931000000006</v>
      </c>
      <c r="N375" s="87">
        <f t="shared" si="153"/>
        <v>3238.3725480000007</v>
      </c>
      <c r="O375" s="34">
        <v>70</v>
      </c>
      <c r="P375" s="34">
        <v>14.4</v>
      </c>
      <c r="Q375" s="51">
        <v>43348</v>
      </c>
      <c r="R375" s="36">
        <v>0</v>
      </c>
      <c r="S375" s="60">
        <f t="shared" si="150"/>
        <v>3238.3725480000007</v>
      </c>
      <c r="T375" s="38">
        <f t="shared" si="154"/>
        <v>2998.4931000000006</v>
      </c>
      <c r="U375" s="259">
        <v>0</v>
      </c>
      <c r="V375" s="39">
        <v>0.08</v>
      </c>
      <c r="W375" s="40">
        <v>44377</v>
      </c>
      <c r="X375" s="41">
        <f t="shared" si="151"/>
        <v>33</v>
      </c>
      <c r="Y375" s="42">
        <f t="shared" si="152"/>
        <v>2.75</v>
      </c>
    </row>
    <row r="376" spans="2:25" x14ac:dyDescent="0.2">
      <c r="B376" s="254" t="s">
        <v>379</v>
      </c>
      <c r="C376" s="89" t="s">
        <v>342</v>
      </c>
      <c r="D376" s="90" t="s">
        <v>34</v>
      </c>
      <c r="E376" s="46">
        <v>43348</v>
      </c>
      <c r="F376" s="124">
        <v>3238.3725480000007</v>
      </c>
      <c r="G376" s="124">
        <v>0</v>
      </c>
      <c r="H376" s="314">
        <v>209</v>
      </c>
      <c r="I376" s="124">
        <f t="shared" si="148"/>
        <v>32383.725480000005</v>
      </c>
      <c r="J376" s="124">
        <f t="shared" si="149"/>
        <v>6661.7949558857154</v>
      </c>
      <c r="K376" s="125"/>
      <c r="L376" s="50"/>
      <c r="M376" s="470">
        <v>2998.4931000000006</v>
      </c>
      <c r="N376" s="87">
        <f t="shared" si="153"/>
        <v>3238.3725480000007</v>
      </c>
      <c r="O376" s="34">
        <v>70</v>
      </c>
      <c r="P376" s="34">
        <v>14.4</v>
      </c>
      <c r="Q376" s="51">
        <v>43348</v>
      </c>
      <c r="R376" s="36">
        <v>0</v>
      </c>
      <c r="S376" s="60">
        <f t="shared" si="150"/>
        <v>3238.3725480000007</v>
      </c>
      <c r="T376" s="38">
        <f t="shared" si="154"/>
        <v>2998.4931000000006</v>
      </c>
      <c r="U376" s="259">
        <v>0</v>
      </c>
      <c r="V376" s="39">
        <v>0.08</v>
      </c>
      <c r="W376" s="40">
        <v>44377</v>
      </c>
      <c r="X376" s="41">
        <f t="shared" si="151"/>
        <v>33</v>
      </c>
      <c r="Y376" s="42">
        <f t="shared" si="152"/>
        <v>2.75</v>
      </c>
    </row>
    <row r="377" spans="2:25" x14ac:dyDescent="0.2">
      <c r="B377" s="254" t="s">
        <v>380</v>
      </c>
      <c r="C377" s="89" t="s">
        <v>342</v>
      </c>
      <c r="D377" s="90" t="s">
        <v>34</v>
      </c>
      <c r="E377" s="46">
        <v>43476</v>
      </c>
      <c r="F377" s="124">
        <v>3237.9912000000004</v>
      </c>
      <c r="G377" s="124">
        <v>0</v>
      </c>
      <c r="H377" s="314">
        <v>209</v>
      </c>
      <c r="I377" s="124">
        <f t="shared" si="148"/>
        <v>32379.912000000004</v>
      </c>
      <c r="J377" s="124">
        <f t="shared" si="149"/>
        <v>6661.0104685714296</v>
      </c>
      <c r="K377" s="125"/>
      <c r="L377" s="50"/>
      <c r="M377" s="470">
        <v>2998.1400000000003</v>
      </c>
      <c r="N377" s="87">
        <f t="shared" si="153"/>
        <v>3237.9912000000004</v>
      </c>
      <c r="O377" s="34">
        <v>70</v>
      </c>
      <c r="P377" s="34">
        <v>14.4</v>
      </c>
      <c r="Q377" s="51">
        <v>43476</v>
      </c>
      <c r="R377" s="36">
        <v>0</v>
      </c>
      <c r="S377" s="60">
        <f t="shared" si="150"/>
        <v>3237.9912000000004</v>
      </c>
      <c r="T377" s="38">
        <f t="shared" si="154"/>
        <v>2998.1400000000003</v>
      </c>
      <c r="U377" s="259">
        <v>0</v>
      </c>
      <c r="V377" s="39">
        <v>0.08</v>
      </c>
      <c r="W377" s="40">
        <v>44377</v>
      </c>
      <c r="X377" s="41">
        <f t="shared" si="151"/>
        <v>29</v>
      </c>
      <c r="Y377" s="42">
        <f t="shared" si="152"/>
        <v>2.4166666666666665</v>
      </c>
    </row>
    <row r="378" spans="2:25" x14ac:dyDescent="0.2">
      <c r="B378" s="254" t="s">
        <v>381</v>
      </c>
      <c r="C378" s="89" t="s">
        <v>342</v>
      </c>
      <c r="D378" s="90" t="s">
        <v>34</v>
      </c>
      <c r="E378" s="46">
        <v>43001</v>
      </c>
      <c r="F378" s="124">
        <v>3238.3725480000007</v>
      </c>
      <c r="G378" s="124">
        <v>0</v>
      </c>
      <c r="H378" s="314">
        <v>209</v>
      </c>
      <c r="I378" s="124">
        <f t="shared" si="148"/>
        <v>32383.725480000005</v>
      </c>
      <c r="J378" s="124">
        <f t="shared" si="149"/>
        <v>7772.0941152000014</v>
      </c>
      <c r="K378" s="125"/>
      <c r="L378" s="50"/>
      <c r="M378" s="470">
        <v>2998.4931000000006</v>
      </c>
      <c r="N378" s="87">
        <f t="shared" si="153"/>
        <v>3238.3725480000007</v>
      </c>
      <c r="O378" s="34">
        <v>70</v>
      </c>
      <c r="P378" s="34">
        <v>16.8</v>
      </c>
      <c r="Q378" s="51">
        <v>43001</v>
      </c>
      <c r="R378" s="36">
        <v>0</v>
      </c>
      <c r="S378" s="60">
        <f t="shared" si="150"/>
        <v>3238.3725480000007</v>
      </c>
      <c r="T378" s="38">
        <f t="shared" si="154"/>
        <v>2998.4931000000006</v>
      </c>
      <c r="U378" s="259">
        <v>0</v>
      </c>
      <c r="V378" s="39">
        <v>0.08</v>
      </c>
      <c r="W378" s="40">
        <v>44377</v>
      </c>
      <c r="X378" s="41">
        <f t="shared" si="151"/>
        <v>45</v>
      </c>
      <c r="Y378" s="42">
        <f t="shared" si="152"/>
        <v>3.75</v>
      </c>
    </row>
    <row r="379" spans="2:25" x14ac:dyDescent="0.2">
      <c r="B379" s="315" t="s">
        <v>382</v>
      </c>
      <c r="C379" s="316" t="s">
        <v>342</v>
      </c>
      <c r="D379" s="317" t="s">
        <v>34</v>
      </c>
      <c r="E379" s="318">
        <v>43960</v>
      </c>
      <c r="F379" s="319">
        <v>3237.84</v>
      </c>
      <c r="G379" s="124">
        <v>0</v>
      </c>
      <c r="H379" s="314">
        <v>209</v>
      </c>
      <c r="I379" s="124">
        <f t="shared" si="148"/>
        <v>32378.400000000001</v>
      </c>
      <c r="J379" s="124">
        <f t="shared" si="149"/>
        <v>6660.6994285714291</v>
      </c>
      <c r="K379" s="125"/>
      <c r="L379" s="50"/>
      <c r="M379" s="470">
        <v>2998</v>
      </c>
      <c r="N379" s="87">
        <f t="shared" si="153"/>
        <v>3237.84</v>
      </c>
      <c r="O379" s="34">
        <v>70</v>
      </c>
      <c r="P379" s="34">
        <v>14.4</v>
      </c>
      <c r="Q379" s="51" t="s">
        <v>383</v>
      </c>
      <c r="R379" s="36">
        <v>0</v>
      </c>
      <c r="S379" s="60">
        <f t="shared" si="150"/>
        <v>3237.84</v>
      </c>
      <c r="T379" s="38">
        <f t="shared" si="154"/>
        <v>2998</v>
      </c>
      <c r="U379" s="259">
        <v>0</v>
      </c>
      <c r="V379" s="39">
        <v>0.08</v>
      </c>
      <c r="W379" s="40">
        <v>44377</v>
      </c>
      <c r="X379" s="41">
        <f t="shared" si="151"/>
        <v>13</v>
      </c>
      <c r="Y379" s="42">
        <f t="shared" si="152"/>
        <v>1.0833333333333333</v>
      </c>
    </row>
    <row r="380" spans="2:25" x14ac:dyDescent="0.2">
      <c r="B380" s="254" t="s">
        <v>384</v>
      </c>
      <c r="C380" s="89" t="s">
        <v>342</v>
      </c>
      <c r="D380" s="90" t="s">
        <v>34</v>
      </c>
      <c r="E380" s="46">
        <v>43362</v>
      </c>
      <c r="F380" s="124">
        <v>3238.3725480000007</v>
      </c>
      <c r="G380" s="124">
        <v>0</v>
      </c>
      <c r="H380" s="314">
        <v>209</v>
      </c>
      <c r="I380" s="124">
        <f t="shared" si="148"/>
        <v>32383.725480000005</v>
      </c>
      <c r="J380" s="124">
        <f t="shared" si="149"/>
        <v>6661.7949558857154</v>
      </c>
      <c r="K380" s="125"/>
      <c r="L380" s="50"/>
      <c r="M380" s="470">
        <v>2998.4931000000006</v>
      </c>
      <c r="N380" s="87">
        <f t="shared" si="153"/>
        <v>3238.3725480000007</v>
      </c>
      <c r="O380" s="34">
        <v>70</v>
      </c>
      <c r="P380" s="34">
        <v>14.4</v>
      </c>
      <c r="Q380" s="51">
        <v>43362</v>
      </c>
      <c r="R380" s="36">
        <v>0</v>
      </c>
      <c r="S380" s="60">
        <f t="shared" si="150"/>
        <v>3238.3725480000007</v>
      </c>
      <c r="T380" s="38">
        <f t="shared" si="154"/>
        <v>2998.4931000000006</v>
      </c>
      <c r="U380" s="259">
        <v>0</v>
      </c>
      <c r="V380" s="39">
        <v>0.08</v>
      </c>
      <c r="W380" s="40">
        <v>44377</v>
      </c>
      <c r="X380" s="41">
        <f t="shared" si="151"/>
        <v>33</v>
      </c>
      <c r="Y380" s="42">
        <f t="shared" si="152"/>
        <v>2.75</v>
      </c>
    </row>
    <row r="381" spans="2:25" x14ac:dyDescent="0.2">
      <c r="B381" s="254" t="s">
        <v>385</v>
      </c>
      <c r="C381" s="89" t="s">
        <v>342</v>
      </c>
      <c r="D381" s="90" t="s">
        <v>34</v>
      </c>
      <c r="E381" s="46">
        <v>43409</v>
      </c>
      <c r="F381" s="124">
        <v>3238.3725480000007</v>
      </c>
      <c r="G381" s="124">
        <v>0</v>
      </c>
      <c r="H381" s="314">
        <v>209</v>
      </c>
      <c r="I381" s="124">
        <f t="shared" si="148"/>
        <v>32383.725480000005</v>
      </c>
      <c r="J381" s="124">
        <f t="shared" si="149"/>
        <v>6661.7949558857154</v>
      </c>
      <c r="K381" s="125"/>
      <c r="L381" s="50"/>
      <c r="M381" s="470">
        <v>2998.4931000000006</v>
      </c>
      <c r="N381" s="87">
        <f t="shared" si="153"/>
        <v>3238.3725480000007</v>
      </c>
      <c r="O381" s="34">
        <v>70</v>
      </c>
      <c r="P381" s="34">
        <v>14.4</v>
      </c>
      <c r="Q381" s="51">
        <v>43409</v>
      </c>
      <c r="R381" s="36">
        <v>0</v>
      </c>
      <c r="S381" s="60">
        <f t="shared" si="150"/>
        <v>3238.3725480000007</v>
      </c>
      <c r="T381" s="38">
        <f t="shared" si="154"/>
        <v>2998.4931000000006</v>
      </c>
      <c r="U381" s="259">
        <v>0</v>
      </c>
      <c r="V381" s="39">
        <v>0.08</v>
      </c>
      <c r="W381" s="40">
        <v>44377</v>
      </c>
      <c r="X381" s="41">
        <f t="shared" si="151"/>
        <v>31</v>
      </c>
      <c r="Y381" s="42">
        <f t="shared" si="152"/>
        <v>2.5833333333333335</v>
      </c>
    </row>
    <row r="382" spans="2:25" x14ac:dyDescent="0.2">
      <c r="B382" s="254" t="s">
        <v>386</v>
      </c>
      <c r="C382" s="89" t="s">
        <v>345</v>
      </c>
      <c r="D382" s="90" t="s">
        <v>34</v>
      </c>
      <c r="E382" s="46">
        <v>43360</v>
      </c>
      <c r="F382" s="301">
        <v>3237.84</v>
      </c>
      <c r="G382" s="124">
        <v>0</v>
      </c>
      <c r="H382" s="314">
        <v>209</v>
      </c>
      <c r="I382" s="124">
        <f t="shared" si="148"/>
        <v>32378.400000000001</v>
      </c>
      <c r="J382" s="124">
        <f t="shared" si="149"/>
        <v>6660.6994285714291</v>
      </c>
      <c r="K382" s="125"/>
      <c r="L382" s="50"/>
      <c r="M382" s="470">
        <v>2998</v>
      </c>
      <c r="N382" s="87">
        <f t="shared" si="153"/>
        <v>3237.84</v>
      </c>
      <c r="O382" s="34">
        <v>70</v>
      </c>
      <c r="P382" s="34">
        <v>14.4</v>
      </c>
      <c r="Q382" s="51">
        <v>43360</v>
      </c>
      <c r="R382" s="36">
        <v>0</v>
      </c>
      <c r="S382" s="60">
        <f t="shared" si="150"/>
        <v>3237.84</v>
      </c>
      <c r="T382" s="38">
        <f t="shared" si="154"/>
        <v>2998</v>
      </c>
      <c r="U382" s="259">
        <v>0</v>
      </c>
      <c r="V382" s="39">
        <v>0.08</v>
      </c>
      <c r="W382" s="40">
        <v>44377</v>
      </c>
      <c r="X382" s="41">
        <f t="shared" si="151"/>
        <v>33</v>
      </c>
      <c r="Y382" s="42">
        <f t="shared" si="152"/>
        <v>2.75</v>
      </c>
    </row>
    <row r="383" spans="2:25" x14ac:dyDescent="0.2">
      <c r="B383" s="254" t="s">
        <v>387</v>
      </c>
      <c r="C383" s="89" t="s">
        <v>342</v>
      </c>
      <c r="D383" s="90" t="s">
        <v>34</v>
      </c>
      <c r="E383" s="46">
        <v>42819</v>
      </c>
      <c r="F383" s="301">
        <v>4052.1600000000003</v>
      </c>
      <c r="G383" s="124">
        <v>0</v>
      </c>
      <c r="H383" s="314">
        <v>209</v>
      </c>
      <c r="I383" s="124">
        <f t="shared" si="148"/>
        <v>40521.599999999999</v>
      </c>
      <c r="J383" s="124">
        <f t="shared" si="149"/>
        <v>9725.1840000000011</v>
      </c>
      <c r="K383" s="125"/>
      <c r="L383" s="50"/>
      <c r="M383" s="470">
        <v>3752</v>
      </c>
      <c r="N383" s="87">
        <f t="shared" si="153"/>
        <v>4052.1600000000003</v>
      </c>
      <c r="O383" s="34">
        <v>70</v>
      </c>
      <c r="P383" s="34">
        <v>16.8</v>
      </c>
      <c r="Q383" s="51">
        <v>42819</v>
      </c>
      <c r="R383" s="36">
        <v>0</v>
      </c>
      <c r="S383" s="60">
        <f t="shared" si="150"/>
        <v>4052.1600000000003</v>
      </c>
      <c r="T383" s="38">
        <f t="shared" si="154"/>
        <v>3752</v>
      </c>
      <c r="U383" s="259">
        <v>0</v>
      </c>
      <c r="V383" s="39">
        <v>0.08</v>
      </c>
      <c r="W383" s="40">
        <v>44377</v>
      </c>
      <c r="X383" s="41">
        <f t="shared" si="151"/>
        <v>51</v>
      </c>
      <c r="Y383" s="42">
        <f t="shared" si="152"/>
        <v>4.25</v>
      </c>
    </row>
    <row r="384" spans="2:25" x14ac:dyDescent="0.2">
      <c r="B384" s="254" t="s">
        <v>388</v>
      </c>
      <c r="C384" s="89" t="s">
        <v>342</v>
      </c>
      <c r="D384" s="90" t="s">
        <v>34</v>
      </c>
      <c r="E384" s="46">
        <v>42847</v>
      </c>
      <c r="F384" s="124">
        <v>3238.3725480000007</v>
      </c>
      <c r="G384" s="124">
        <v>0</v>
      </c>
      <c r="H384" s="314">
        <v>209</v>
      </c>
      <c r="I384" s="124">
        <f t="shared" si="148"/>
        <v>32383.725480000005</v>
      </c>
      <c r="J384" s="124">
        <f t="shared" si="149"/>
        <v>7772.0941152000014</v>
      </c>
      <c r="K384" s="125"/>
      <c r="L384" s="50"/>
      <c r="M384" s="470">
        <v>2998.4931000000006</v>
      </c>
      <c r="N384" s="87">
        <f t="shared" si="153"/>
        <v>3238.3725480000007</v>
      </c>
      <c r="O384" s="34">
        <v>70</v>
      </c>
      <c r="P384" s="34">
        <v>16.8</v>
      </c>
      <c r="Q384" s="51">
        <v>42847</v>
      </c>
      <c r="R384" s="36">
        <v>0</v>
      </c>
      <c r="S384" s="60">
        <f t="shared" si="150"/>
        <v>3238.3725480000007</v>
      </c>
      <c r="T384" s="38">
        <f t="shared" si="154"/>
        <v>2998.4931000000006</v>
      </c>
      <c r="U384" s="259">
        <v>0</v>
      </c>
      <c r="V384" s="39">
        <v>0.08</v>
      </c>
      <c r="W384" s="40">
        <v>44377</v>
      </c>
      <c r="X384" s="41">
        <f t="shared" si="151"/>
        <v>50</v>
      </c>
      <c r="Y384" s="42">
        <f t="shared" si="152"/>
        <v>4.166666666666667</v>
      </c>
    </row>
    <row r="385" spans="1:25" x14ac:dyDescent="0.2">
      <c r="B385" s="254" t="s">
        <v>389</v>
      </c>
      <c r="C385" s="89" t="s">
        <v>345</v>
      </c>
      <c r="D385" s="90" t="s">
        <v>34</v>
      </c>
      <c r="E385" s="46">
        <v>42924</v>
      </c>
      <c r="F385" s="124">
        <v>4052.1600000000003</v>
      </c>
      <c r="G385" s="124">
        <v>0</v>
      </c>
      <c r="H385" s="314">
        <v>209</v>
      </c>
      <c r="I385" s="124">
        <f t="shared" si="148"/>
        <v>40521.599999999999</v>
      </c>
      <c r="J385" s="124">
        <f t="shared" si="149"/>
        <v>9725.1840000000011</v>
      </c>
      <c r="K385" s="125"/>
      <c r="L385" s="50"/>
      <c r="M385" s="470">
        <v>3752</v>
      </c>
      <c r="N385" s="87">
        <f t="shared" si="153"/>
        <v>4052.1600000000003</v>
      </c>
      <c r="O385" s="34">
        <v>70</v>
      </c>
      <c r="P385" s="34">
        <v>16.8</v>
      </c>
      <c r="Q385" s="51">
        <v>42924</v>
      </c>
      <c r="R385" s="36">
        <v>0</v>
      </c>
      <c r="S385" s="60">
        <f t="shared" si="150"/>
        <v>4052.1600000000003</v>
      </c>
      <c r="T385" s="38">
        <f t="shared" si="154"/>
        <v>3752</v>
      </c>
      <c r="U385" s="259">
        <v>0</v>
      </c>
      <c r="V385" s="39">
        <v>0.08</v>
      </c>
      <c r="W385" s="40">
        <v>44377</v>
      </c>
      <c r="X385" s="41">
        <f t="shared" si="151"/>
        <v>47</v>
      </c>
      <c r="Y385" s="42">
        <f t="shared" si="152"/>
        <v>3.9166666666666665</v>
      </c>
    </row>
    <row r="386" spans="1:25" x14ac:dyDescent="0.2">
      <c r="B386" s="254" t="s">
        <v>390</v>
      </c>
      <c r="C386" s="89" t="s">
        <v>345</v>
      </c>
      <c r="D386" s="90" t="s">
        <v>34</v>
      </c>
      <c r="E386" s="46">
        <v>43395</v>
      </c>
      <c r="F386" s="124">
        <v>4052.6892000000007</v>
      </c>
      <c r="G386" s="124">
        <v>0</v>
      </c>
      <c r="H386" s="314">
        <v>209</v>
      </c>
      <c r="I386" s="124">
        <f t="shared" si="148"/>
        <v>40526.892000000007</v>
      </c>
      <c r="J386" s="124">
        <f t="shared" si="149"/>
        <v>8336.9606400000011</v>
      </c>
      <c r="K386" s="125"/>
      <c r="L386" s="50"/>
      <c r="M386" s="470">
        <v>3752.4900000000002</v>
      </c>
      <c r="N386" s="87">
        <f t="shared" si="153"/>
        <v>4052.6892000000007</v>
      </c>
      <c r="O386" s="34">
        <v>70</v>
      </c>
      <c r="P386" s="34">
        <v>14.4</v>
      </c>
      <c r="Q386" s="51">
        <v>43395</v>
      </c>
      <c r="R386" s="36">
        <v>0</v>
      </c>
      <c r="S386" s="60">
        <f t="shared" si="150"/>
        <v>4052.6892000000007</v>
      </c>
      <c r="T386" s="38">
        <f t="shared" si="154"/>
        <v>3752.4900000000002</v>
      </c>
      <c r="U386" s="259">
        <v>0</v>
      </c>
      <c r="V386" s="39">
        <v>0.08</v>
      </c>
      <c r="W386" s="40">
        <v>44377</v>
      </c>
      <c r="X386" s="41">
        <f t="shared" si="151"/>
        <v>32</v>
      </c>
      <c r="Y386" s="42">
        <f t="shared" si="152"/>
        <v>2.6666666666666665</v>
      </c>
    </row>
    <row r="387" spans="1:25" x14ac:dyDescent="0.2">
      <c r="B387" s="254" t="s">
        <v>391</v>
      </c>
      <c r="C387" s="89" t="s">
        <v>342</v>
      </c>
      <c r="D387" s="90" t="s">
        <v>34</v>
      </c>
      <c r="E387" s="46">
        <v>43355</v>
      </c>
      <c r="F387" s="124">
        <v>3238.3725480000007</v>
      </c>
      <c r="G387" s="124">
        <v>0</v>
      </c>
      <c r="H387" s="314">
        <v>209</v>
      </c>
      <c r="I387" s="124">
        <f t="shared" si="148"/>
        <v>32383.725480000005</v>
      </c>
      <c r="J387" s="124">
        <f t="shared" si="149"/>
        <v>6661.7949558857154</v>
      </c>
      <c r="K387" s="125"/>
      <c r="L387" s="50"/>
      <c r="M387" s="470">
        <v>2998.4931000000006</v>
      </c>
      <c r="N387" s="87">
        <f t="shared" si="153"/>
        <v>3238.3725480000007</v>
      </c>
      <c r="O387" s="34">
        <v>70</v>
      </c>
      <c r="P387" s="34">
        <v>14.4</v>
      </c>
      <c r="Q387" s="51">
        <v>43355</v>
      </c>
      <c r="R387" s="36">
        <v>0</v>
      </c>
      <c r="S387" s="60">
        <f t="shared" si="150"/>
        <v>3238.3725480000007</v>
      </c>
      <c r="T387" s="38">
        <f t="shared" si="154"/>
        <v>2998.4931000000006</v>
      </c>
      <c r="U387" s="259">
        <v>0</v>
      </c>
      <c r="V387" s="39">
        <v>0.08</v>
      </c>
      <c r="W387" s="40">
        <v>44377</v>
      </c>
      <c r="X387" s="41">
        <f t="shared" si="151"/>
        <v>33</v>
      </c>
      <c r="Y387" s="42">
        <f t="shared" si="152"/>
        <v>2.75</v>
      </c>
    </row>
    <row r="388" spans="1:25" x14ac:dyDescent="0.2">
      <c r="B388" s="254" t="s">
        <v>392</v>
      </c>
      <c r="C388" s="89" t="s">
        <v>367</v>
      </c>
      <c r="D388" s="90" t="s">
        <v>34</v>
      </c>
      <c r="E388" s="46">
        <v>42696</v>
      </c>
      <c r="F388" s="124">
        <v>4176.8699760000009</v>
      </c>
      <c r="G388" s="124">
        <v>0</v>
      </c>
      <c r="H388" s="314">
        <v>209</v>
      </c>
      <c r="I388" s="124">
        <f t="shared" si="148"/>
        <v>41768.69976000001</v>
      </c>
      <c r="J388" s="124">
        <f t="shared" si="149"/>
        <v>10024.487942400003</v>
      </c>
      <c r="K388" s="125"/>
      <c r="L388" s="50"/>
      <c r="M388" s="470">
        <v>3867.4722000000002</v>
      </c>
      <c r="N388" s="87">
        <f t="shared" si="153"/>
        <v>4176.8699760000009</v>
      </c>
      <c r="O388" s="34">
        <v>70</v>
      </c>
      <c r="P388" s="34">
        <v>16.8</v>
      </c>
      <c r="Q388" s="51">
        <v>42696</v>
      </c>
      <c r="R388" s="36">
        <v>0</v>
      </c>
      <c r="S388" s="60">
        <f t="shared" si="150"/>
        <v>4176.8699760000009</v>
      </c>
      <c r="T388" s="38">
        <f t="shared" si="154"/>
        <v>3867.4722000000006</v>
      </c>
      <c r="U388" s="259">
        <v>0</v>
      </c>
      <c r="V388" s="39">
        <v>0.08</v>
      </c>
      <c r="W388" s="40">
        <v>44377</v>
      </c>
      <c r="X388" s="41">
        <f t="shared" si="151"/>
        <v>55</v>
      </c>
      <c r="Y388" s="42">
        <f t="shared" si="152"/>
        <v>4.583333333333333</v>
      </c>
    </row>
    <row r="389" spans="1:25" x14ac:dyDescent="0.2">
      <c r="B389" s="254" t="s">
        <v>393</v>
      </c>
      <c r="C389" s="89" t="s">
        <v>342</v>
      </c>
      <c r="D389" s="90" t="s">
        <v>34</v>
      </c>
      <c r="E389" s="46">
        <v>43395</v>
      </c>
      <c r="F389" s="124">
        <v>3238.3725480000007</v>
      </c>
      <c r="G389" s="124">
        <v>0</v>
      </c>
      <c r="H389" s="314">
        <v>209</v>
      </c>
      <c r="I389" s="124">
        <f t="shared" si="148"/>
        <v>32383.725480000005</v>
      </c>
      <c r="J389" s="124">
        <f t="shared" si="149"/>
        <v>6661.7949558857154</v>
      </c>
      <c r="K389" s="125"/>
      <c r="L389" s="50"/>
      <c r="M389" s="470">
        <v>2998.4931000000006</v>
      </c>
      <c r="N389" s="87">
        <f t="shared" si="153"/>
        <v>3238.3725480000007</v>
      </c>
      <c r="O389" s="34">
        <v>70</v>
      </c>
      <c r="P389" s="34">
        <v>14.4</v>
      </c>
      <c r="Q389" s="51">
        <v>43395</v>
      </c>
      <c r="R389" s="36">
        <v>0</v>
      </c>
      <c r="S389" s="60">
        <f t="shared" si="150"/>
        <v>3238.3725480000007</v>
      </c>
      <c r="T389" s="38">
        <f t="shared" si="154"/>
        <v>2998.4931000000006</v>
      </c>
      <c r="U389" s="259">
        <v>0</v>
      </c>
      <c r="V389" s="39">
        <v>0.08</v>
      </c>
      <c r="W389" s="40">
        <v>44377</v>
      </c>
      <c r="X389" s="41">
        <f t="shared" si="151"/>
        <v>32</v>
      </c>
      <c r="Y389" s="42">
        <f t="shared" si="152"/>
        <v>2.6666666666666665</v>
      </c>
    </row>
    <row r="390" spans="1:25" x14ac:dyDescent="0.2">
      <c r="B390" s="254" t="s">
        <v>394</v>
      </c>
      <c r="C390" s="89" t="s">
        <v>342</v>
      </c>
      <c r="D390" s="90" t="s">
        <v>34</v>
      </c>
      <c r="E390" s="46">
        <v>34257</v>
      </c>
      <c r="F390" s="124">
        <v>3265.92</v>
      </c>
      <c r="G390" s="124">
        <v>0</v>
      </c>
      <c r="H390" s="314">
        <v>219</v>
      </c>
      <c r="I390" s="124">
        <f t="shared" si="148"/>
        <v>32659.200000000001</v>
      </c>
      <c r="J390" s="124">
        <f t="shared" si="149"/>
        <v>8957.9519999999993</v>
      </c>
      <c r="K390" s="125">
        <f>F390/7*12+R390+R390</f>
        <v>7353.72</v>
      </c>
      <c r="L390" s="50"/>
      <c r="M390" s="470">
        <v>3024</v>
      </c>
      <c r="N390" s="87">
        <f t="shared" si="153"/>
        <v>3265.92</v>
      </c>
      <c r="O390" s="34">
        <v>70</v>
      </c>
      <c r="P390" s="34">
        <v>19.2</v>
      </c>
      <c r="Q390" s="51">
        <v>34257</v>
      </c>
      <c r="R390" s="36">
        <v>877.5</v>
      </c>
      <c r="S390" s="60">
        <f t="shared" si="150"/>
        <v>3265.92</v>
      </c>
      <c r="T390" s="38">
        <f t="shared" si="154"/>
        <v>3024</v>
      </c>
      <c r="U390" s="259">
        <v>0</v>
      </c>
      <c r="V390" s="39">
        <v>0.08</v>
      </c>
      <c r="W390" s="40">
        <v>44377</v>
      </c>
      <c r="X390" s="41">
        <f t="shared" si="151"/>
        <v>332</v>
      </c>
      <c r="Y390" s="42">
        <f t="shared" si="152"/>
        <v>27.666666666666668</v>
      </c>
    </row>
    <row r="391" spans="1:25" x14ac:dyDescent="0.2">
      <c r="B391" s="315" t="s">
        <v>395</v>
      </c>
      <c r="C391" s="316" t="s">
        <v>342</v>
      </c>
      <c r="D391" s="90" t="s">
        <v>34</v>
      </c>
      <c r="E391" s="318">
        <v>43946</v>
      </c>
      <c r="F391" s="319">
        <v>3237.84</v>
      </c>
      <c r="G391" s="124">
        <v>0</v>
      </c>
      <c r="H391" s="314">
        <v>209</v>
      </c>
      <c r="I391" s="124">
        <f t="shared" si="148"/>
        <v>32378.400000000001</v>
      </c>
      <c r="J391" s="124">
        <f t="shared" si="149"/>
        <v>6660.6994285714291</v>
      </c>
      <c r="K391" s="125"/>
      <c r="L391" s="50"/>
      <c r="M391" s="470">
        <v>2998</v>
      </c>
      <c r="N391" s="87">
        <f t="shared" si="153"/>
        <v>3237.84</v>
      </c>
      <c r="O391" s="34">
        <v>70</v>
      </c>
      <c r="P391" s="34">
        <v>14.4</v>
      </c>
      <c r="Q391" s="51">
        <v>43946</v>
      </c>
      <c r="R391" s="36">
        <v>0</v>
      </c>
      <c r="S391" s="60">
        <f t="shared" si="150"/>
        <v>3237.84</v>
      </c>
      <c r="T391" s="38">
        <f t="shared" si="154"/>
        <v>2998</v>
      </c>
      <c r="U391" s="259">
        <v>0</v>
      </c>
      <c r="V391" s="39">
        <v>0.08</v>
      </c>
      <c r="W391" s="40">
        <v>44377</v>
      </c>
      <c r="X391" s="41">
        <f t="shared" si="151"/>
        <v>14</v>
      </c>
      <c r="Y391" s="42">
        <f t="shared" si="152"/>
        <v>1.1666666666666667</v>
      </c>
    </row>
    <row r="392" spans="1:25" x14ac:dyDescent="0.2">
      <c r="B392" s="315" t="s">
        <v>396</v>
      </c>
      <c r="C392" s="316" t="s">
        <v>342</v>
      </c>
      <c r="D392" s="90" t="s">
        <v>34</v>
      </c>
      <c r="E392" s="318">
        <v>44011</v>
      </c>
      <c r="F392" s="319">
        <v>3237.84</v>
      </c>
      <c r="G392" s="124">
        <v>0</v>
      </c>
      <c r="H392" s="314">
        <v>209</v>
      </c>
      <c r="I392" s="124">
        <f t="shared" si="148"/>
        <v>32378.400000000001</v>
      </c>
      <c r="J392" s="124">
        <f t="shared" si="149"/>
        <v>6660.6994285714291</v>
      </c>
      <c r="K392" s="125"/>
      <c r="L392" s="50"/>
      <c r="M392" s="470">
        <v>2998</v>
      </c>
      <c r="N392" s="87">
        <f t="shared" si="153"/>
        <v>3237.84</v>
      </c>
      <c r="O392" s="34">
        <v>70</v>
      </c>
      <c r="P392" s="34">
        <v>14.4</v>
      </c>
      <c r="Q392" s="51">
        <v>44011</v>
      </c>
      <c r="R392" s="36">
        <v>0</v>
      </c>
      <c r="S392" s="60">
        <f t="shared" si="150"/>
        <v>3237.84</v>
      </c>
      <c r="T392" s="38">
        <f t="shared" si="154"/>
        <v>2998</v>
      </c>
      <c r="U392" s="259">
        <v>0</v>
      </c>
      <c r="V392" s="39">
        <v>0.08</v>
      </c>
      <c r="W392" s="40">
        <v>44377</v>
      </c>
      <c r="X392" s="41">
        <f t="shared" si="151"/>
        <v>12</v>
      </c>
      <c r="Y392" s="42">
        <f t="shared" si="152"/>
        <v>1</v>
      </c>
    </row>
    <row r="393" spans="1:25" x14ac:dyDescent="0.2">
      <c r="A393" s="1" t="s">
        <v>90</v>
      </c>
      <c r="B393" s="471" t="s">
        <v>643</v>
      </c>
      <c r="C393" s="316" t="s">
        <v>345</v>
      </c>
      <c r="D393" s="90" t="s">
        <v>34</v>
      </c>
      <c r="E393" s="318">
        <v>44085</v>
      </c>
      <c r="F393" s="319">
        <v>3752</v>
      </c>
      <c r="G393" s="124">
        <v>0</v>
      </c>
      <c r="H393" s="314">
        <v>209</v>
      </c>
      <c r="I393" s="124">
        <f t="shared" ref="I393" si="155">F393/7*O393</f>
        <v>37520</v>
      </c>
      <c r="J393" s="124">
        <f t="shared" ref="J393" si="156">F393/7*P393</f>
        <v>7718.4000000000005</v>
      </c>
      <c r="K393" s="125"/>
      <c r="L393" s="50"/>
      <c r="M393" s="470">
        <v>3752</v>
      </c>
      <c r="N393" s="87">
        <f t="shared" si="153"/>
        <v>4052.1600000000003</v>
      </c>
      <c r="O393" s="34">
        <v>70</v>
      </c>
      <c r="P393" s="34">
        <v>14.4</v>
      </c>
      <c r="Q393" s="51">
        <v>44011</v>
      </c>
      <c r="R393" s="36">
        <v>0</v>
      </c>
      <c r="S393" s="60">
        <f t="shared" ref="S393" si="157">M393*(1+V393)</f>
        <v>4052.1600000000003</v>
      </c>
      <c r="T393" s="38">
        <f t="shared" ref="T393" si="158">S393/1.08</f>
        <v>3752</v>
      </c>
      <c r="U393" s="259">
        <v>0</v>
      </c>
      <c r="V393" s="39">
        <v>0.08</v>
      </c>
      <c r="W393" s="40">
        <v>44377</v>
      </c>
      <c r="X393" s="41">
        <f t="shared" ref="X393" si="159">(YEAR(W393)-YEAR(E393))*12+MONTH(W393)-MONTH(E393)</f>
        <v>9</v>
      </c>
      <c r="Y393" s="42">
        <f t="shared" ref="Y393" si="160">X393/12</f>
        <v>0.75</v>
      </c>
    </row>
    <row r="394" spans="1:25" x14ac:dyDescent="0.2">
      <c r="B394" s="310" t="s">
        <v>397</v>
      </c>
      <c r="C394" s="105" t="s">
        <v>342</v>
      </c>
      <c r="D394" s="90" t="s">
        <v>34</v>
      </c>
      <c r="E394" s="46">
        <v>43897</v>
      </c>
      <c r="F394" s="124">
        <v>3237.84</v>
      </c>
      <c r="G394" s="124"/>
      <c r="H394" s="314">
        <v>209</v>
      </c>
      <c r="I394" s="124">
        <f t="shared" si="148"/>
        <v>32378.400000000001</v>
      </c>
      <c r="J394" s="124">
        <f t="shared" si="149"/>
        <v>6660.6994285714291</v>
      </c>
      <c r="K394" s="125"/>
      <c r="L394" s="50"/>
      <c r="M394" s="470">
        <v>2998</v>
      </c>
      <c r="N394" s="87">
        <f t="shared" si="153"/>
        <v>3237.84</v>
      </c>
      <c r="O394" s="34">
        <v>70</v>
      </c>
      <c r="P394" s="34">
        <v>14.4</v>
      </c>
      <c r="Q394" s="51">
        <v>43897</v>
      </c>
      <c r="R394" s="36">
        <v>0</v>
      </c>
      <c r="S394" s="60">
        <f t="shared" si="150"/>
        <v>3237.84</v>
      </c>
      <c r="T394" s="38">
        <f t="shared" si="154"/>
        <v>2998</v>
      </c>
      <c r="U394" s="259">
        <v>0</v>
      </c>
      <c r="V394" s="39">
        <v>0.08</v>
      </c>
      <c r="W394" s="40">
        <v>44377</v>
      </c>
      <c r="X394" s="41">
        <f t="shared" si="151"/>
        <v>15</v>
      </c>
      <c r="Y394" s="42">
        <f t="shared" si="152"/>
        <v>1.25</v>
      </c>
    </row>
    <row r="395" spans="1:25" x14ac:dyDescent="0.2">
      <c r="B395" s="254" t="s">
        <v>398</v>
      </c>
      <c r="C395" s="89" t="s">
        <v>342</v>
      </c>
      <c r="D395" s="90" t="s">
        <v>34</v>
      </c>
      <c r="E395" s="46">
        <v>43346</v>
      </c>
      <c r="F395" s="124">
        <v>3238.3725480000007</v>
      </c>
      <c r="G395" s="124">
        <v>0</v>
      </c>
      <c r="H395" s="314">
        <v>209</v>
      </c>
      <c r="I395" s="124">
        <f t="shared" si="148"/>
        <v>32383.725480000005</v>
      </c>
      <c r="J395" s="124">
        <f t="shared" si="149"/>
        <v>6661.7949558857154</v>
      </c>
      <c r="K395" s="125"/>
      <c r="L395" s="50"/>
      <c r="M395" s="470">
        <v>2998.4931000000006</v>
      </c>
      <c r="N395" s="87">
        <f t="shared" si="153"/>
        <v>3238.3725480000007</v>
      </c>
      <c r="O395" s="34">
        <v>70</v>
      </c>
      <c r="P395" s="34">
        <v>14.4</v>
      </c>
      <c r="Q395" s="51">
        <v>43346</v>
      </c>
      <c r="R395" s="36">
        <v>0</v>
      </c>
      <c r="S395" s="60">
        <f t="shared" si="150"/>
        <v>3238.3725480000007</v>
      </c>
      <c r="T395" s="38">
        <f t="shared" si="154"/>
        <v>2998.4931000000006</v>
      </c>
      <c r="U395" s="259">
        <v>0</v>
      </c>
      <c r="V395" s="39">
        <v>0.08</v>
      </c>
      <c r="W395" s="40">
        <v>44377</v>
      </c>
      <c r="X395" s="41">
        <f t="shared" si="151"/>
        <v>33</v>
      </c>
      <c r="Y395" s="42">
        <f t="shared" si="152"/>
        <v>2.75</v>
      </c>
    </row>
    <row r="396" spans="1:25" x14ac:dyDescent="0.2">
      <c r="B396" s="254" t="s">
        <v>399</v>
      </c>
      <c r="C396" s="89" t="s">
        <v>342</v>
      </c>
      <c r="D396" s="90" t="s">
        <v>34</v>
      </c>
      <c r="E396" s="46">
        <v>43857</v>
      </c>
      <c r="F396" s="124">
        <v>3238.3725480000007</v>
      </c>
      <c r="G396" s="124">
        <v>0</v>
      </c>
      <c r="H396" s="314">
        <v>209</v>
      </c>
      <c r="I396" s="124">
        <f t="shared" si="148"/>
        <v>32383.725480000005</v>
      </c>
      <c r="J396" s="124">
        <f t="shared" si="149"/>
        <v>6661.7949558857154</v>
      </c>
      <c r="K396" s="125"/>
      <c r="L396" s="50"/>
      <c r="M396" s="470">
        <v>2998.4931000000006</v>
      </c>
      <c r="N396" s="87">
        <f t="shared" si="153"/>
        <v>3238.3725480000007</v>
      </c>
      <c r="O396" s="34">
        <v>70</v>
      </c>
      <c r="P396" s="34">
        <v>14.4</v>
      </c>
      <c r="Q396" s="51">
        <v>43346</v>
      </c>
      <c r="R396" s="36">
        <v>0</v>
      </c>
      <c r="S396" s="60">
        <f t="shared" si="150"/>
        <v>3238.3725480000007</v>
      </c>
      <c r="T396" s="38">
        <f t="shared" si="154"/>
        <v>2998.4931000000006</v>
      </c>
      <c r="U396" s="259">
        <v>0</v>
      </c>
      <c r="V396" s="39">
        <v>0.08</v>
      </c>
      <c r="W396" s="40">
        <v>44377</v>
      </c>
      <c r="X396" s="41">
        <f t="shared" si="151"/>
        <v>17</v>
      </c>
      <c r="Y396" s="42">
        <f t="shared" si="152"/>
        <v>1.4166666666666667</v>
      </c>
    </row>
    <row r="397" spans="1:25" x14ac:dyDescent="0.2">
      <c r="B397" s="254" t="s">
        <v>400</v>
      </c>
      <c r="C397" s="89" t="s">
        <v>342</v>
      </c>
      <c r="D397" s="90" t="s">
        <v>34</v>
      </c>
      <c r="E397" s="46">
        <v>43347</v>
      </c>
      <c r="F397" s="301">
        <v>3795.1200000000003</v>
      </c>
      <c r="G397" s="124">
        <v>0</v>
      </c>
      <c r="H397" s="314">
        <v>209</v>
      </c>
      <c r="I397" s="124">
        <f t="shared" si="148"/>
        <v>37951.200000000004</v>
      </c>
      <c r="J397" s="124">
        <f t="shared" si="149"/>
        <v>7807.1040000000012</v>
      </c>
      <c r="K397" s="125"/>
      <c r="L397" s="50"/>
      <c r="M397" s="470">
        <v>3514</v>
      </c>
      <c r="N397" s="87">
        <f t="shared" si="153"/>
        <v>3795.1200000000003</v>
      </c>
      <c r="O397" s="34">
        <v>70</v>
      </c>
      <c r="P397" s="34">
        <v>14.4</v>
      </c>
      <c r="Q397" s="51">
        <v>43347</v>
      </c>
      <c r="R397" s="36">
        <v>0</v>
      </c>
      <c r="S397" s="60">
        <f t="shared" si="150"/>
        <v>3795.1200000000003</v>
      </c>
      <c r="T397" s="38">
        <f t="shared" si="154"/>
        <v>3514</v>
      </c>
      <c r="U397" s="259">
        <v>0</v>
      </c>
      <c r="V397" s="39">
        <v>0.08</v>
      </c>
      <c r="W397" s="40">
        <v>44377</v>
      </c>
      <c r="X397" s="41">
        <f t="shared" si="151"/>
        <v>33</v>
      </c>
      <c r="Y397" s="42">
        <f t="shared" si="152"/>
        <v>2.75</v>
      </c>
    </row>
    <row r="398" spans="1:25" x14ac:dyDescent="0.2">
      <c r="B398" s="254" t="s">
        <v>401</v>
      </c>
      <c r="C398" s="89" t="s">
        <v>342</v>
      </c>
      <c r="D398" s="90" t="s">
        <v>34</v>
      </c>
      <c r="E398" s="46">
        <v>43367</v>
      </c>
      <c r="F398" s="124">
        <v>3238.3725480000007</v>
      </c>
      <c r="G398" s="124">
        <v>0</v>
      </c>
      <c r="H398" s="314">
        <v>209</v>
      </c>
      <c r="I398" s="124">
        <f t="shared" si="148"/>
        <v>32383.725480000005</v>
      </c>
      <c r="J398" s="124">
        <f t="shared" si="149"/>
        <v>6661.7949558857154</v>
      </c>
      <c r="K398" s="125"/>
      <c r="L398" s="50"/>
      <c r="M398" s="470">
        <v>2998.4931000000006</v>
      </c>
      <c r="N398" s="87">
        <f t="shared" si="153"/>
        <v>3238.3725480000007</v>
      </c>
      <c r="O398" s="34">
        <v>70</v>
      </c>
      <c r="P398" s="34">
        <v>14.4</v>
      </c>
      <c r="Q398" s="51">
        <v>43367</v>
      </c>
      <c r="R398" s="36">
        <v>0</v>
      </c>
      <c r="S398" s="60">
        <f t="shared" si="150"/>
        <v>3238.3725480000007</v>
      </c>
      <c r="T398" s="38">
        <f t="shared" si="154"/>
        <v>2998.4931000000006</v>
      </c>
      <c r="U398" s="259">
        <v>0</v>
      </c>
      <c r="V398" s="39">
        <v>0.08</v>
      </c>
      <c r="W398" s="40">
        <v>44377</v>
      </c>
      <c r="X398" s="41">
        <f t="shared" si="151"/>
        <v>33</v>
      </c>
      <c r="Y398" s="42">
        <f t="shared" si="152"/>
        <v>2.75</v>
      </c>
    </row>
    <row r="399" spans="1:25" x14ac:dyDescent="0.2">
      <c r="B399" s="254" t="s">
        <v>402</v>
      </c>
      <c r="C399" s="89" t="s">
        <v>345</v>
      </c>
      <c r="D399" s="90" t="s">
        <v>34</v>
      </c>
      <c r="E399" s="46">
        <v>42653</v>
      </c>
      <c r="F399" s="124">
        <v>4052.1600000000003</v>
      </c>
      <c r="G399" s="124">
        <v>0</v>
      </c>
      <c r="H399" s="314">
        <v>209</v>
      </c>
      <c r="I399" s="124">
        <f t="shared" si="148"/>
        <v>40521.599999999999</v>
      </c>
      <c r="J399" s="124">
        <f t="shared" si="149"/>
        <v>9725.1840000000011</v>
      </c>
      <c r="K399" s="125"/>
      <c r="L399" s="50"/>
      <c r="M399" s="470">
        <v>3752</v>
      </c>
      <c r="N399" s="87">
        <f t="shared" si="153"/>
        <v>4052.1600000000003</v>
      </c>
      <c r="O399" s="34">
        <v>70</v>
      </c>
      <c r="P399" s="34">
        <v>16.8</v>
      </c>
      <c r="Q399" s="51">
        <v>42653</v>
      </c>
      <c r="R399" s="36">
        <v>0</v>
      </c>
      <c r="S399" s="60">
        <f t="shared" si="150"/>
        <v>4052.1600000000003</v>
      </c>
      <c r="T399" s="38">
        <f t="shared" si="154"/>
        <v>3752</v>
      </c>
      <c r="U399" s="259">
        <v>0</v>
      </c>
      <c r="V399" s="39">
        <v>0.08</v>
      </c>
      <c r="W399" s="40">
        <v>44377</v>
      </c>
      <c r="X399" s="41">
        <f t="shared" si="151"/>
        <v>56</v>
      </c>
      <c r="Y399" s="42">
        <f t="shared" si="152"/>
        <v>4.666666666666667</v>
      </c>
    </row>
    <row r="400" spans="1:25" s="130" customFormat="1" x14ac:dyDescent="0.2">
      <c r="A400" s="130" t="s">
        <v>90</v>
      </c>
      <c r="B400" s="254" t="s">
        <v>403</v>
      </c>
      <c r="C400" s="303" t="s">
        <v>342</v>
      </c>
      <c r="D400" s="90" t="s">
        <v>34</v>
      </c>
      <c r="E400" s="166">
        <v>43729</v>
      </c>
      <c r="F400" s="305">
        <v>3237.9912000000004</v>
      </c>
      <c r="G400" s="305">
        <v>0</v>
      </c>
      <c r="H400" s="320">
        <v>209</v>
      </c>
      <c r="I400" s="305">
        <f t="shared" si="148"/>
        <v>32379.912000000004</v>
      </c>
      <c r="J400" s="305">
        <f t="shared" si="149"/>
        <v>6661.0104685714296</v>
      </c>
      <c r="K400" s="306"/>
      <c r="L400" s="50"/>
      <c r="M400" s="470">
        <v>2998.1400000000003</v>
      </c>
      <c r="N400" s="87">
        <f t="shared" si="153"/>
        <v>3237.9912000000004</v>
      </c>
      <c r="O400" s="34">
        <v>70</v>
      </c>
      <c r="P400" s="34">
        <v>14.4</v>
      </c>
      <c r="Q400" s="51">
        <v>43729</v>
      </c>
      <c r="R400" s="36">
        <v>0</v>
      </c>
      <c r="S400" s="136">
        <f t="shared" si="150"/>
        <v>3237.9912000000004</v>
      </c>
      <c r="T400" s="38">
        <f t="shared" si="154"/>
        <v>2998.1400000000003</v>
      </c>
      <c r="U400" s="307">
        <v>0</v>
      </c>
      <c r="V400" s="39">
        <v>0.08</v>
      </c>
      <c r="W400" s="144">
        <v>44377</v>
      </c>
      <c r="X400" s="145">
        <f t="shared" si="151"/>
        <v>21</v>
      </c>
      <c r="Y400" s="146">
        <f t="shared" si="152"/>
        <v>1.75</v>
      </c>
    </row>
    <row r="401" spans="1:25" s="130" customFormat="1" x14ac:dyDescent="0.2">
      <c r="B401" s="254" t="s">
        <v>404</v>
      </c>
      <c r="C401" s="303" t="s">
        <v>342</v>
      </c>
      <c r="D401" s="90" t="s">
        <v>34</v>
      </c>
      <c r="E401" s="166">
        <v>43897</v>
      </c>
      <c r="F401" s="305">
        <v>3237.84</v>
      </c>
      <c r="G401" s="305">
        <v>0</v>
      </c>
      <c r="H401" s="320">
        <v>209</v>
      </c>
      <c r="I401" s="305">
        <f t="shared" si="148"/>
        <v>32378.400000000001</v>
      </c>
      <c r="J401" s="305">
        <f t="shared" si="149"/>
        <v>6660.6994285714291</v>
      </c>
      <c r="K401" s="306"/>
      <c r="L401" s="50"/>
      <c r="M401" s="470">
        <v>2998</v>
      </c>
      <c r="N401" s="87">
        <f t="shared" si="153"/>
        <v>3237.84</v>
      </c>
      <c r="O401" s="34">
        <v>70</v>
      </c>
      <c r="P401" s="34">
        <v>14.4</v>
      </c>
      <c r="Q401" s="51">
        <v>43897</v>
      </c>
      <c r="R401" s="36">
        <v>0</v>
      </c>
      <c r="S401" s="136">
        <f t="shared" si="150"/>
        <v>3237.84</v>
      </c>
      <c r="T401" s="38">
        <f t="shared" si="154"/>
        <v>2998</v>
      </c>
      <c r="U401" s="307">
        <v>0</v>
      </c>
      <c r="V401" s="39">
        <v>0.08</v>
      </c>
      <c r="W401" s="144">
        <v>44377</v>
      </c>
      <c r="X401" s="145">
        <f t="shared" si="151"/>
        <v>15</v>
      </c>
      <c r="Y401" s="146">
        <f t="shared" si="152"/>
        <v>1.25</v>
      </c>
    </row>
    <row r="402" spans="1:25" x14ac:dyDescent="0.2">
      <c r="B402" s="254" t="s">
        <v>405</v>
      </c>
      <c r="C402" s="89" t="s">
        <v>342</v>
      </c>
      <c r="D402" s="90" t="s">
        <v>34</v>
      </c>
      <c r="E402" s="46">
        <v>43395</v>
      </c>
      <c r="F402" s="124">
        <v>3238.3725480000007</v>
      </c>
      <c r="G402" s="124">
        <v>0</v>
      </c>
      <c r="H402" s="314">
        <v>209</v>
      </c>
      <c r="I402" s="124">
        <f t="shared" si="148"/>
        <v>32383.725480000005</v>
      </c>
      <c r="J402" s="124">
        <f t="shared" si="149"/>
        <v>6661.7949558857154</v>
      </c>
      <c r="K402" s="125"/>
      <c r="L402" s="50"/>
      <c r="M402" s="470">
        <v>2998.4931000000006</v>
      </c>
      <c r="N402" s="87">
        <f t="shared" si="153"/>
        <v>3238.3725480000007</v>
      </c>
      <c r="O402" s="34">
        <v>70</v>
      </c>
      <c r="P402" s="34">
        <v>14.4</v>
      </c>
      <c r="Q402" s="51">
        <v>43395</v>
      </c>
      <c r="R402" s="36">
        <v>0</v>
      </c>
      <c r="S402" s="60">
        <f t="shared" si="150"/>
        <v>3238.3725480000007</v>
      </c>
      <c r="T402" s="38">
        <f t="shared" si="154"/>
        <v>2998.4931000000006</v>
      </c>
      <c r="U402" s="259">
        <v>0</v>
      </c>
      <c r="V402" s="39">
        <v>0.08</v>
      </c>
      <c r="W402" s="40">
        <v>44377</v>
      </c>
      <c r="X402" s="41">
        <f t="shared" si="151"/>
        <v>32</v>
      </c>
      <c r="Y402" s="42">
        <f t="shared" si="152"/>
        <v>2.6666666666666665</v>
      </c>
    </row>
    <row r="403" spans="1:25" x14ac:dyDescent="0.2">
      <c r="A403" s="321" t="s">
        <v>90</v>
      </c>
      <c r="B403" s="254" t="s">
        <v>406</v>
      </c>
      <c r="C403" s="322" t="s">
        <v>342</v>
      </c>
      <c r="D403" s="90" t="s">
        <v>34</v>
      </c>
      <c r="E403" s="323">
        <v>43759</v>
      </c>
      <c r="F403" s="324">
        <v>3238.3725480000007</v>
      </c>
      <c r="G403" s="324">
        <v>0</v>
      </c>
      <c r="H403" s="325">
        <v>209</v>
      </c>
      <c r="I403" s="324">
        <f t="shared" si="148"/>
        <v>32383.725480000005</v>
      </c>
      <c r="J403" s="324">
        <f t="shared" si="149"/>
        <v>6661.7949558857154</v>
      </c>
      <c r="K403" s="326"/>
      <c r="L403" s="50"/>
      <c r="M403" s="470">
        <v>2998.4931000000006</v>
      </c>
      <c r="N403" s="87">
        <f t="shared" si="153"/>
        <v>3238.3725480000007</v>
      </c>
      <c r="O403" s="34">
        <v>70</v>
      </c>
      <c r="P403" s="34">
        <v>14.4</v>
      </c>
      <c r="Q403" s="51">
        <v>43759</v>
      </c>
      <c r="R403" s="36">
        <v>0</v>
      </c>
      <c r="S403" s="327">
        <f t="shared" si="150"/>
        <v>3238.3725480000007</v>
      </c>
      <c r="T403" s="38">
        <f t="shared" si="154"/>
        <v>2998.4931000000006</v>
      </c>
      <c r="U403" s="328">
        <v>0</v>
      </c>
      <c r="V403" s="39">
        <v>0.08</v>
      </c>
      <c r="W403" s="329">
        <v>44377</v>
      </c>
      <c r="X403" s="330">
        <f t="shared" si="151"/>
        <v>20</v>
      </c>
      <c r="Y403" s="331">
        <f t="shared" si="152"/>
        <v>1.6666666666666667</v>
      </c>
    </row>
    <row r="404" spans="1:25" x14ac:dyDescent="0.2">
      <c r="B404" s="254" t="s">
        <v>407</v>
      </c>
      <c r="C404" s="89" t="s">
        <v>342</v>
      </c>
      <c r="D404" s="90" t="s">
        <v>34</v>
      </c>
      <c r="E404" s="46">
        <v>43355</v>
      </c>
      <c r="F404" s="124">
        <v>3238.3725480000007</v>
      </c>
      <c r="G404" s="124">
        <v>0</v>
      </c>
      <c r="H404" s="314">
        <v>209</v>
      </c>
      <c r="I404" s="124">
        <f t="shared" si="148"/>
        <v>32383.725480000005</v>
      </c>
      <c r="J404" s="124">
        <f t="shared" si="149"/>
        <v>6661.7949558857154</v>
      </c>
      <c r="K404" s="125"/>
      <c r="L404" s="50"/>
      <c r="M404" s="470">
        <v>2998.4931000000006</v>
      </c>
      <c r="N404" s="87">
        <f t="shared" si="153"/>
        <v>3238.3725480000007</v>
      </c>
      <c r="O404" s="34">
        <v>70</v>
      </c>
      <c r="P404" s="34">
        <v>14.4</v>
      </c>
      <c r="Q404" s="51">
        <v>43355</v>
      </c>
      <c r="R404" s="36">
        <v>0</v>
      </c>
      <c r="S404" s="60">
        <f t="shared" si="150"/>
        <v>3238.3725480000007</v>
      </c>
      <c r="T404" s="38">
        <f t="shared" si="154"/>
        <v>2998.4931000000006</v>
      </c>
      <c r="U404" s="259">
        <v>0</v>
      </c>
      <c r="V404" s="39">
        <v>0.08</v>
      </c>
      <c r="W404" s="40">
        <v>44377</v>
      </c>
      <c r="X404" s="41">
        <f t="shared" si="151"/>
        <v>33</v>
      </c>
      <c r="Y404" s="42">
        <f t="shared" si="152"/>
        <v>2.75</v>
      </c>
    </row>
    <row r="405" spans="1:25" x14ac:dyDescent="0.2">
      <c r="B405" s="254" t="s">
        <v>408</v>
      </c>
      <c r="C405" s="89" t="s">
        <v>342</v>
      </c>
      <c r="D405" s="90" t="s">
        <v>34</v>
      </c>
      <c r="E405" s="46">
        <v>43347</v>
      </c>
      <c r="F405" s="124">
        <v>3238.3725480000007</v>
      </c>
      <c r="G405" s="124">
        <v>0</v>
      </c>
      <c r="H405" s="314">
        <v>209</v>
      </c>
      <c r="I405" s="124">
        <f t="shared" si="148"/>
        <v>32383.725480000005</v>
      </c>
      <c r="J405" s="124">
        <f t="shared" si="149"/>
        <v>6661.7949558857154</v>
      </c>
      <c r="K405" s="125"/>
      <c r="L405" s="50"/>
      <c r="M405" s="470">
        <v>2998.4931000000006</v>
      </c>
      <c r="N405" s="87">
        <f t="shared" si="153"/>
        <v>3238.3725480000007</v>
      </c>
      <c r="O405" s="34">
        <v>70</v>
      </c>
      <c r="P405" s="34">
        <v>14.4</v>
      </c>
      <c r="Q405" s="51">
        <v>43347</v>
      </c>
      <c r="R405" s="36">
        <v>0</v>
      </c>
      <c r="S405" s="60">
        <f t="shared" si="150"/>
        <v>3238.3725480000007</v>
      </c>
      <c r="T405" s="38">
        <f t="shared" si="154"/>
        <v>2998.4931000000006</v>
      </c>
      <c r="U405" s="259">
        <v>0</v>
      </c>
      <c r="V405" s="39">
        <v>0.08</v>
      </c>
      <c r="W405" s="40">
        <v>44377</v>
      </c>
      <c r="X405" s="41">
        <f t="shared" si="151"/>
        <v>33</v>
      </c>
      <c r="Y405" s="42">
        <f t="shared" si="152"/>
        <v>2.75</v>
      </c>
    </row>
    <row r="406" spans="1:25" x14ac:dyDescent="0.2">
      <c r="B406" s="254" t="s">
        <v>409</v>
      </c>
      <c r="C406" s="89" t="s">
        <v>342</v>
      </c>
      <c r="D406" s="90" t="s">
        <v>34</v>
      </c>
      <c r="E406" s="46">
        <v>43516</v>
      </c>
      <c r="F406" s="124">
        <v>3237.9912000000004</v>
      </c>
      <c r="G406" s="124">
        <v>0</v>
      </c>
      <c r="H406" s="314">
        <v>209</v>
      </c>
      <c r="I406" s="124">
        <f t="shared" si="148"/>
        <v>32379.912000000004</v>
      </c>
      <c r="J406" s="124">
        <f t="shared" si="149"/>
        <v>6661.0104685714296</v>
      </c>
      <c r="K406" s="125"/>
      <c r="L406" s="50"/>
      <c r="M406" s="470">
        <v>2998.1400000000003</v>
      </c>
      <c r="N406" s="87">
        <f t="shared" si="153"/>
        <v>3237.9912000000004</v>
      </c>
      <c r="O406" s="34">
        <v>70</v>
      </c>
      <c r="P406" s="34">
        <v>14.4</v>
      </c>
      <c r="Q406" s="51">
        <v>43516</v>
      </c>
      <c r="R406" s="36">
        <v>0</v>
      </c>
      <c r="S406" s="60">
        <f t="shared" si="150"/>
        <v>3237.9912000000004</v>
      </c>
      <c r="T406" s="38">
        <f t="shared" si="154"/>
        <v>2998.1400000000003</v>
      </c>
      <c r="U406" s="259">
        <v>0</v>
      </c>
      <c r="V406" s="39">
        <v>0.08</v>
      </c>
      <c r="W406" s="40">
        <v>44377</v>
      </c>
      <c r="X406" s="41">
        <f t="shared" si="151"/>
        <v>28</v>
      </c>
      <c r="Y406" s="42">
        <f t="shared" si="152"/>
        <v>2.3333333333333335</v>
      </c>
    </row>
    <row r="407" spans="1:25" x14ac:dyDescent="0.2">
      <c r="B407" s="254" t="s">
        <v>410</v>
      </c>
      <c r="C407" s="89" t="s">
        <v>342</v>
      </c>
      <c r="D407" s="90" t="s">
        <v>34</v>
      </c>
      <c r="E407" s="46">
        <v>43404</v>
      </c>
      <c r="F407" s="124">
        <v>3238.3725480000007</v>
      </c>
      <c r="G407" s="124">
        <v>0</v>
      </c>
      <c r="H407" s="314">
        <v>209</v>
      </c>
      <c r="I407" s="124">
        <f t="shared" si="148"/>
        <v>32383.725480000005</v>
      </c>
      <c r="J407" s="124">
        <f t="shared" si="149"/>
        <v>6661.7949558857154</v>
      </c>
      <c r="K407" s="125"/>
      <c r="L407" s="50"/>
      <c r="M407" s="470">
        <v>2998.4931000000006</v>
      </c>
      <c r="N407" s="87">
        <f t="shared" si="153"/>
        <v>3238.3725480000007</v>
      </c>
      <c r="O407" s="34">
        <v>70</v>
      </c>
      <c r="P407" s="34">
        <v>14.4</v>
      </c>
      <c r="Q407" s="51">
        <v>43404</v>
      </c>
      <c r="R407" s="36">
        <v>0</v>
      </c>
      <c r="S407" s="60">
        <f t="shared" si="150"/>
        <v>3238.3725480000007</v>
      </c>
      <c r="T407" s="38">
        <f t="shared" si="154"/>
        <v>2998.4931000000006</v>
      </c>
      <c r="U407" s="259">
        <v>0</v>
      </c>
      <c r="V407" s="39">
        <v>0.08</v>
      </c>
      <c r="W407" s="40">
        <v>44377</v>
      </c>
      <c r="X407" s="41">
        <f t="shared" si="151"/>
        <v>32</v>
      </c>
      <c r="Y407" s="42">
        <f t="shared" si="152"/>
        <v>2.6666666666666665</v>
      </c>
    </row>
    <row r="408" spans="1:25" x14ac:dyDescent="0.2">
      <c r="B408" s="254" t="s">
        <v>411</v>
      </c>
      <c r="C408" s="89" t="s">
        <v>367</v>
      </c>
      <c r="D408" s="90" t="s">
        <v>34</v>
      </c>
      <c r="E408" s="46">
        <v>42889</v>
      </c>
      <c r="F408" s="124">
        <v>4176.8699760000009</v>
      </c>
      <c r="G408" s="124">
        <v>0</v>
      </c>
      <c r="H408" s="314">
        <v>209</v>
      </c>
      <c r="I408" s="124">
        <f t="shared" si="148"/>
        <v>41768.69976000001</v>
      </c>
      <c r="J408" s="124">
        <f t="shared" si="149"/>
        <v>10024.487942400003</v>
      </c>
      <c r="K408" s="125"/>
      <c r="L408" s="50"/>
      <c r="M408" s="470">
        <v>3867.4722000000002</v>
      </c>
      <c r="N408" s="87">
        <f t="shared" si="153"/>
        <v>4176.8699760000009</v>
      </c>
      <c r="O408" s="34">
        <v>70</v>
      </c>
      <c r="P408" s="34">
        <v>16.8</v>
      </c>
      <c r="Q408" s="51">
        <v>42889</v>
      </c>
      <c r="R408" s="36">
        <v>0</v>
      </c>
      <c r="S408" s="60">
        <f t="shared" si="150"/>
        <v>4176.8699760000009</v>
      </c>
      <c r="T408" s="38">
        <f t="shared" si="154"/>
        <v>3867.4722000000006</v>
      </c>
      <c r="U408" s="259">
        <v>0</v>
      </c>
      <c r="V408" s="39">
        <v>0.08</v>
      </c>
      <c r="W408" s="40">
        <v>44377</v>
      </c>
      <c r="X408" s="41">
        <f t="shared" si="151"/>
        <v>48</v>
      </c>
      <c r="Y408" s="42">
        <f t="shared" si="152"/>
        <v>4</v>
      </c>
    </row>
    <row r="409" spans="1:25" x14ac:dyDescent="0.2">
      <c r="B409" s="254" t="s">
        <v>412</v>
      </c>
      <c r="C409" s="89" t="s">
        <v>342</v>
      </c>
      <c r="D409" s="90" t="s">
        <v>34</v>
      </c>
      <c r="E409" s="46">
        <v>43002</v>
      </c>
      <c r="F409" s="124">
        <v>3238.3725480000007</v>
      </c>
      <c r="G409" s="124">
        <v>0</v>
      </c>
      <c r="H409" s="314">
        <v>209</v>
      </c>
      <c r="I409" s="124">
        <f t="shared" si="148"/>
        <v>32383.725480000005</v>
      </c>
      <c r="J409" s="124">
        <f t="shared" si="149"/>
        <v>7772.0941152000014</v>
      </c>
      <c r="K409" s="125"/>
      <c r="L409" s="50"/>
      <c r="M409" s="470">
        <v>2998.4931000000006</v>
      </c>
      <c r="N409" s="87">
        <f t="shared" si="153"/>
        <v>3238.3725480000007</v>
      </c>
      <c r="O409" s="34">
        <v>70</v>
      </c>
      <c r="P409" s="34">
        <v>16.8</v>
      </c>
      <c r="Q409" s="51">
        <v>43002</v>
      </c>
      <c r="R409" s="36">
        <v>0</v>
      </c>
      <c r="S409" s="60">
        <f t="shared" si="150"/>
        <v>3238.3725480000007</v>
      </c>
      <c r="T409" s="38">
        <f t="shared" si="154"/>
        <v>2998.4931000000006</v>
      </c>
      <c r="U409" s="259">
        <v>0</v>
      </c>
      <c r="V409" s="39">
        <v>0.08</v>
      </c>
      <c r="W409" s="40">
        <v>44377</v>
      </c>
      <c r="X409" s="41">
        <f t="shared" si="151"/>
        <v>45</v>
      </c>
      <c r="Y409" s="42">
        <f t="shared" si="152"/>
        <v>3.75</v>
      </c>
    </row>
    <row r="410" spans="1:25" s="130" customFormat="1" x14ac:dyDescent="0.2">
      <c r="A410" s="130" t="s">
        <v>90</v>
      </c>
      <c r="B410" s="254" t="s">
        <v>413</v>
      </c>
      <c r="C410" s="303" t="s">
        <v>342</v>
      </c>
      <c r="D410" s="90" t="s">
        <v>34</v>
      </c>
      <c r="E410" s="166">
        <v>43740</v>
      </c>
      <c r="F410" s="305">
        <v>3237.9912000000004</v>
      </c>
      <c r="G410" s="305">
        <v>0</v>
      </c>
      <c r="H410" s="320">
        <v>209</v>
      </c>
      <c r="I410" s="305">
        <v>6804.8571428571431</v>
      </c>
      <c r="J410" s="305">
        <v>2737.9542857142856</v>
      </c>
      <c r="K410" s="306"/>
      <c r="L410" s="50"/>
      <c r="M410" s="470">
        <v>2998.1400000000003</v>
      </c>
      <c r="N410" s="87">
        <f t="shared" si="153"/>
        <v>3237.9912000000004</v>
      </c>
      <c r="O410" s="34">
        <v>70</v>
      </c>
      <c r="P410" s="34">
        <v>14.4</v>
      </c>
      <c r="Q410" s="51">
        <v>43740</v>
      </c>
      <c r="R410" s="36">
        <v>0</v>
      </c>
      <c r="S410" s="136">
        <f t="shared" si="150"/>
        <v>3237.9912000000004</v>
      </c>
      <c r="T410" s="38">
        <f t="shared" si="154"/>
        <v>2998.1400000000003</v>
      </c>
      <c r="U410" s="307">
        <v>0</v>
      </c>
      <c r="V410" s="39">
        <v>0.08</v>
      </c>
      <c r="W410" s="144">
        <v>44377</v>
      </c>
      <c r="X410" s="145">
        <f t="shared" si="151"/>
        <v>20</v>
      </c>
      <c r="Y410" s="146">
        <f t="shared" si="152"/>
        <v>1.6666666666666667</v>
      </c>
    </row>
    <row r="411" spans="1:25" x14ac:dyDescent="0.2">
      <c r="B411" s="254" t="s">
        <v>414</v>
      </c>
      <c r="C411" s="89" t="s">
        <v>342</v>
      </c>
      <c r="D411" s="90" t="s">
        <v>34</v>
      </c>
      <c r="E411" s="46">
        <v>43366</v>
      </c>
      <c r="F411" s="124">
        <v>3238.3725480000007</v>
      </c>
      <c r="G411" s="124">
        <v>0</v>
      </c>
      <c r="H411" s="314">
        <v>209</v>
      </c>
      <c r="I411" s="124">
        <f>F411/7*O411</f>
        <v>32383.725480000005</v>
      </c>
      <c r="J411" s="124">
        <f>F411/7*P411</f>
        <v>6661.7949558857154</v>
      </c>
      <c r="K411" s="125"/>
      <c r="L411" s="50"/>
      <c r="M411" s="470">
        <v>2998.4931000000006</v>
      </c>
      <c r="N411" s="87">
        <f t="shared" si="153"/>
        <v>3238.3725480000007</v>
      </c>
      <c r="O411" s="34">
        <v>70</v>
      </c>
      <c r="P411" s="34">
        <v>14.4</v>
      </c>
      <c r="Q411" s="51">
        <v>43366</v>
      </c>
      <c r="R411" s="36">
        <v>0</v>
      </c>
      <c r="S411" s="60">
        <f t="shared" si="150"/>
        <v>3238.3725480000007</v>
      </c>
      <c r="T411" s="38">
        <f t="shared" si="154"/>
        <v>2998.4931000000006</v>
      </c>
      <c r="U411" s="259">
        <v>0</v>
      </c>
      <c r="V411" s="39">
        <v>0.08</v>
      </c>
      <c r="W411" s="40">
        <v>44377</v>
      </c>
      <c r="X411" s="41">
        <f t="shared" si="151"/>
        <v>33</v>
      </c>
      <c r="Y411" s="42">
        <f t="shared" si="152"/>
        <v>2.75</v>
      </c>
    </row>
    <row r="412" spans="1:25" s="130" customFormat="1" x14ac:dyDescent="0.2">
      <c r="A412" s="130" t="s">
        <v>90</v>
      </c>
      <c r="B412" s="254" t="s">
        <v>415</v>
      </c>
      <c r="C412" s="303" t="s">
        <v>342</v>
      </c>
      <c r="D412" s="90" t="s">
        <v>34</v>
      </c>
      <c r="E412" s="166">
        <v>43861</v>
      </c>
      <c r="F412" s="305">
        <v>3237.9912000000004</v>
      </c>
      <c r="G412" s="305">
        <v>0</v>
      </c>
      <c r="H412" s="320">
        <v>209</v>
      </c>
      <c r="I412" s="305">
        <v>13609.714285714286</v>
      </c>
      <c r="J412" s="305">
        <v>2737.9542857142856</v>
      </c>
      <c r="K412" s="306"/>
      <c r="L412" s="50"/>
      <c r="M412" s="470">
        <v>2998.1400000000003</v>
      </c>
      <c r="N412" s="87">
        <f t="shared" si="153"/>
        <v>3237.9912000000004</v>
      </c>
      <c r="O412" s="34">
        <v>70</v>
      </c>
      <c r="P412" s="34">
        <v>14.4</v>
      </c>
      <c r="Q412" s="51">
        <v>43861</v>
      </c>
      <c r="R412" s="36">
        <v>0</v>
      </c>
      <c r="S412" s="136">
        <f t="shared" si="150"/>
        <v>3237.9912000000004</v>
      </c>
      <c r="T412" s="38">
        <f t="shared" si="154"/>
        <v>2998.1400000000003</v>
      </c>
      <c r="U412" s="307">
        <v>0</v>
      </c>
      <c r="V412" s="39">
        <v>0.08</v>
      </c>
      <c r="W412" s="144">
        <v>44377</v>
      </c>
      <c r="X412" s="145">
        <f t="shared" si="151"/>
        <v>17</v>
      </c>
      <c r="Y412" s="146">
        <f t="shared" si="152"/>
        <v>1.4166666666666667</v>
      </c>
    </row>
    <row r="413" spans="1:25" x14ac:dyDescent="0.2">
      <c r="B413" s="254" t="s">
        <v>416</v>
      </c>
      <c r="C413" s="89" t="s">
        <v>367</v>
      </c>
      <c r="D413" s="90" t="s">
        <v>34</v>
      </c>
      <c r="E413" s="46">
        <v>42413</v>
      </c>
      <c r="F413" s="124">
        <v>4176.8699760000009</v>
      </c>
      <c r="G413" s="124">
        <v>0</v>
      </c>
      <c r="H413" s="314">
        <v>209</v>
      </c>
      <c r="I413" s="124">
        <f t="shared" ref="I413:I421" si="161">F413/7*O413</f>
        <v>41768.69976000001</v>
      </c>
      <c r="J413" s="124">
        <f t="shared" ref="J413:J421" si="162">F413/7*P413</f>
        <v>11456.557648457145</v>
      </c>
      <c r="K413" s="125">
        <f>F413/7*12+R413+R413</f>
        <v>7830.6685302857159</v>
      </c>
      <c r="L413" s="50"/>
      <c r="M413" s="470">
        <v>3867.4722000000002</v>
      </c>
      <c r="N413" s="87">
        <f t="shared" si="153"/>
        <v>4176.8699760000009</v>
      </c>
      <c r="O413" s="34">
        <v>70</v>
      </c>
      <c r="P413" s="34">
        <v>19.2</v>
      </c>
      <c r="Q413" s="51">
        <v>42413</v>
      </c>
      <c r="R413" s="36">
        <v>335.16</v>
      </c>
      <c r="S413" s="60">
        <f t="shared" si="150"/>
        <v>4176.8699760000009</v>
      </c>
      <c r="T413" s="38">
        <f t="shared" si="154"/>
        <v>3867.4722000000006</v>
      </c>
      <c r="U413" s="259">
        <v>0</v>
      </c>
      <c r="V413" s="39">
        <v>0.08</v>
      </c>
      <c r="W413" s="40">
        <v>44377</v>
      </c>
      <c r="X413" s="41">
        <f t="shared" si="151"/>
        <v>64</v>
      </c>
      <c r="Y413" s="42">
        <f t="shared" si="152"/>
        <v>5.333333333333333</v>
      </c>
    </row>
    <row r="414" spans="1:25" ht="13.5" customHeight="1" x14ac:dyDescent="0.2">
      <c r="B414" s="254" t="s">
        <v>417</v>
      </c>
      <c r="C414" s="89" t="s">
        <v>345</v>
      </c>
      <c r="D414" s="90" t="s">
        <v>34</v>
      </c>
      <c r="E414" s="46">
        <v>43348</v>
      </c>
      <c r="F414" s="124">
        <v>4052.1600000000003</v>
      </c>
      <c r="G414" s="124">
        <v>0</v>
      </c>
      <c r="H414" s="314">
        <v>209</v>
      </c>
      <c r="I414" s="124">
        <f t="shared" si="161"/>
        <v>40521.599999999999</v>
      </c>
      <c r="J414" s="124">
        <f t="shared" si="162"/>
        <v>8335.8719999999994</v>
      </c>
      <c r="K414" s="125"/>
      <c r="L414" s="50"/>
      <c r="M414" s="470">
        <v>3752</v>
      </c>
      <c r="N414" s="87">
        <f t="shared" si="153"/>
        <v>4052.1600000000003</v>
      </c>
      <c r="O414" s="34">
        <v>70</v>
      </c>
      <c r="P414" s="34">
        <v>14.4</v>
      </c>
      <c r="Q414" s="51">
        <v>43348</v>
      </c>
      <c r="R414" s="36">
        <v>0</v>
      </c>
      <c r="S414" s="60">
        <f t="shared" si="150"/>
        <v>4052.1600000000003</v>
      </c>
      <c r="T414" s="38">
        <f t="shared" si="154"/>
        <v>3752</v>
      </c>
      <c r="U414" s="259">
        <v>0</v>
      </c>
      <c r="V414" s="39">
        <v>0.08</v>
      </c>
      <c r="W414" s="40">
        <v>44377</v>
      </c>
      <c r="X414" s="41">
        <f t="shared" si="151"/>
        <v>33</v>
      </c>
      <c r="Y414" s="42">
        <f t="shared" si="152"/>
        <v>2.75</v>
      </c>
    </row>
    <row r="415" spans="1:25" s="130" customFormat="1" ht="13.5" customHeight="1" x14ac:dyDescent="0.2">
      <c r="A415" s="130" t="s">
        <v>90</v>
      </c>
      <c r="B415" s="339" t="s">
        <v>644</v>
      </c>
      <c r="C415" s="303" t="s">
        <v>342</v>
      </c>
      <c r="D415" s="472" t="s">
        <v>34</v>
      </c>
      <c r="E415" s="166">
        <v>44044</v>
      </c>
      <c r="F415" s="305">
        <v>2998</v>
      </c>
      <c r="G415" s="305">
        <v>0</v>
      </c>
      <c r="H415" s="320">
        <v>209</v>
      </c>
      <c r="I415" s="305">
        <f t="shared" ref="I415" si="163">F415/7*O415</f>
        <v>29980</v>
      </c>
      <c r="J415" s="305">
        <f t="shared" ref="J415" si="164">F415/7*P415</f>
        <v>6167.3142857142857</v>
      </c>
      <c r="K415" s="306"/>
      <c r="L415" s="341"/>
      <c r="M415" s="470">
        <v>2998</v>
      </c>
      <c r="N415" s="168">
        <f t="shared" si="153"/>
        <v>3237.84</v>
      </c>
      <c r="O415" s="140">
        <v>70</v>
      </c>
      <c r="P415" s="140">
        <v>14.4</v>
      </c>
      <c r="Q415" s="166">
        <v>43348</v>
      </c>
      <c r="R415" s="141">
        <v>0</v>
      </c>
      <c r="S415" s="136">
        <f t="shared" ref="S415" si="165">M415*(1+V415)</f>
        <v>3237.84</v>
      </c>
      <c r="T415" s="142">
        <f t="shared" ref="T415" si="166">S415/1.08</f>
        <v>2998</v>
      </c>
      <c r="U415" s="307">
        <v>0</v>
      </c>
      <c r="V415" s="143">
        <v>0.08</v>
      </c>
      <c r="W415" s="144">
        <v>44377</v>
      </c>
      <c r="X415" s="145">
        <f t="shared" ref="X415" si="167">(YEAR(W415)-YEAR(E415))*12+MONTH(W415)-MONTH(E415)</f>
        <v>10</v>
      </c>
      <c r="Y415" s="146">
        <f t="shared" ref="Y415" si="168">X415/12</f>
        <v>0.83333333333333337</v>
      </c>
    </row>
    <row r="416" spans="1:25" x14ac:dyDescent="0.2">
      <c r="A416" s="52"/>
      <c r="B416" s="332" t="s">
        <v>418</v>
      </c>
      <c r="C416" s="333" t="s">
        <v>419</v>
      </c>
      <c r="D416" s="90" t="s">
        <v>34</v>
      </c>
      <c r="E416" s="106">
        <v>42401</v>
      </c>
      <c r="F416" s="301">
        <v>3237.84</v>
      </c>
      <c r="G416" s="124">
        <v>0</v>
      </c>
      <c r="H416" s="289">
        <v>209</v>
      </c>
      <c r="I416" s="124">
        <f t="shared" si="161"/>
        <v>32378.400000000001</v>
      </c>
      <c r="J416" s="124">
        <f t="shared" si="162"/>
        <v>7770.8160000000007</v>
      </c>
      <c r="K416" s="125"/>
      <c r="L416" s="31"/>
      <c r="M416" s="470">
        <v>2998</v>
      </c>
      <c r="N416" s="87">
        <f t="shared" si="153"/>
        <v>3237.84</v>
      </c>
      <c r="O416" s="34">
        <v>70</v>
      </c>
      <c r="P416" s="34">
        <v>16.8</v>
      </c>
      <c r="Q416" s="35">
        <v>42401</v>
      </c>
      <c r="R416" s="441">
        <v>0</v>
      </c>
      <c r="S416" s="60">
        <f t="shared" si="150"/>
        <v>3237.84</v>
      </c>
      <c r="T416" s="38">
        <f t="shared" si="154"/>
        <v>2998</v>
      </c>
      <c r="U416" s="236">
        <v>0</v>
      </c>
      <c r="V416" s="39">
        <v>0.08</v>
      </c>
      <c r="W416" s="40">
        <v>44377</v>
      </c>
      <c r="X416" s="41">
        <f t="shared" si="151"/>
        <v>64</v>
      </c>
      <c r="Y416" s="42">
        <f t="shared" si="152"/>
        <v>5.333333333333333</v>
      </c>
    </row>
    <row r="417" spans="2:25" x14ac:dyDescent="0.2">
      <c r="B417" s="254" t="s">
        <v>420</v>
      </c>
      <c r="C417" s="89" t="s">
        <v>342</v>
      </c>
      <c r="D417" s="90" t="s">
        <v>34</v>
      </c>
      <c r="E417" s="46">
        <v>43369</v>
      </c>
      <c r="F417" s="124">
        <v>3238.3725480000007</v>
      </c>
      <c r="G417" s="124">
        <v>0</v>
      </c>
      <c r="H417" s="314">
        <v>209</v>
      </c>
      <c r="I417" s="124">
        <f t="shared" si="161"/>
        <v>32383.725480000005</v>
      </c>
      <c r="J417" s="124">
        <f t="shared" si="162"/>
        <v>6661.7949558857154</v>
      </c>
      <c r="K417" s="125"/>
      <c r="L417" s="50"/>
      <c r="M417" s="470">
        <v>2998.4931000000006</v>
      </c>
      <c r="N417" s="87">
        <f t="shared" si="153"/>
        <v>3238.3725480000007</v>
      </c>
      <c r="O417" s="34">
        <v>70</v>
      </c>
      <c r="P417" s="34">
        <v>14.4</v>
      </c>
      <c r="Q417" s="51">
        <v>43369</v>
      </c>
      <c r="R417" s="36">
        <v>0</v>
      </c>
      <c r="S417" s="60">
        <f t="shared" si="150"/>
        <v>3238.3725480000007</v>
      </c>
      <c r="T417" s="38">
        <f t="shared" si="154"/>
        <v>2998.4931000000006</v>
      </c>
      <c r="U417" s="259">
        <v>0</v>
      </c>
      <c r="V417" s="39">
        <v>0.08</v>
      </c>
      <c r="W417" s="40">
        <v>44377</v>
      </c>
      <c r="X417" s="41">
        <f t="shared" si="151"/>
        <v>33</v>
      </c>
      <c r="Y417" s="42">
        <f t="shared" si="152"/>
        <v>2.75</v>
      </c>
    </row>
    <row r="418" spans="2:25" ht="12.75" customHeight="1" x14ac:dyDescent="0.2">
      <c r="B418" s="254" t="s">
        <v>421</v>
      </c>
      <c r="C418" s="89" t="s">
        <v>342</v>
      </c>
      <c r="D418" s="90" t="s">
        <v>34</v>
      </c>
      <c r="E418" s="46">
        <v>43395</v>
      </c>
      <c r="F418" s="124">
        <v>3238.3725480000007</v>
      </c>
      <c r="G418" s="124">
        <v>0</v>
      </c>
      <c r="H418" s="314">
        <v>209</v>
      </c>
      <c r="I418" s="124">
        <f t="shared" si="161"/>
        <v>32383.725480000005</v>
      </c>
      <c r="J418" s="124">
        <f t="shared" si="162"/>
        <v>6661.7949558857154</v>
      </c>
      <c r="K418" s="125"/>
      <c r="L418" s="50"/>
      <c r="M418" s="470">
        <v>2998.4931000000006</v>
      </c>
      <c r="N418" s="87">
        <f t="shared" si="153"/>
        <v>3238.3725480000007</v>
      </c>
      <c r="O418" s="34">
        <v>70</v>
      </c>
      <c r="P418" s="34">
        <v>14.4</v>
      </c>
      <c r="Q418" s="51">
        <v>43395</v>
      </c>
      <c r="R418" s="36">
        <v>0</v>
      </c>
      <c r="S418" s="60">
        <f t="shared" si="150"/>
        <v>3238.3725480000007</v>
      </c>
      <c r="T418" s="38">
        <f t="shared" si="154"/>
        <v>2998.4931000000006</v>
      </c>
      <c r="U418" s="259">
        <v>0</v>
      </c>
      <c r="V418" s="39">
        <v>0.08</v>
      </c>
      <c r="W418" s="40">
        <v>44377</v>
      </c>
      <c r="X418" s="41">
        <f t="shared" si="151"/>
        <v>32</v>
      </c>
      <c r="Y418" s="42">
        <f t="shared" si="152"/>
        <v>2.6666666666666665</v>
      </c>
    </row>
    <row r="419" spans="2:25" x14ac:dyDescent="0.2">
      <c r="B419" s="43" t="s">
        <v>422</v>
      </c>
      <c r="C419" s="105" t="s">
        <v>342</v>
      </c>
      <c r="D419" s="90" t="s">
        <v>34</v>
      </c>
      <c r="E419" s="46">
        <v>43529</v>
      </c>
      <c r="F419" s="47">
        <v>3237.9912000000004</v>
      </c>
      <c r="G419" s="124">
        <v>0</v>
      </c>
      <c r="H419" s="48">
        <v>209</v>
      </c>
      <c r="I419" s="47">
        <f t="shared" si="161"/>
        <v>32379.912000000004</v>
      </c>
      <c r="J419" s="47">
        <f t="shared" si="162"/>
        <v>6661.0104685714296</v>
      </c>
      <c r="K419" s="49"/>
      <c r="L419" s="50"/>
      <c r="M419" s="459">
        <v>2998.1400000000003</v>
      </c>
      <c r="N419" s="87">
        <f t="shared" si="153"/>
        <v>3237.9912000000004</v>
      </c>
      <c r="O419" s="34">
        <v>70</v>
      </c>
      <c r="P419" s="34">
        <v>14.4</v>
      </c>
      <c r="Q419" s="51">
        <v>43529</v>
      </c>
      <c r="R419" s="36">
        <v>0</v>
      </c>
      <c r="S419" s="60">
        <f t="shared" si="150"/>
        <v>3237.9912000000004</v>
      </c>
      <c r="T419" s="38">
        <f t="shared" si="154"/>
        <v>2998.1400000000003</v>
      </c>
      <c r="U419" s="259">
        <v>0</v>
      </c>
      <c r="V419" s="39">
        <v>0.08</v>
      </c>
      <c r="W419" s="40">
        <v>44377</v>
      </c>
      <c r="X419" s="41">
        <f t="shared" si="151"/>
        <v>27</v>
      </c>
      <c r="Y419" s="42">
        <f t="shared" si="152"/>
        <v>2.25</v>
      </c>
    </row>
    <row r="420" spans="2:25" x14ac:dyDescent="0.2">
      <c r="B420" s="254" t="s">
        <v>423</v>
      </c>
      <c r="C420" s="89" t="s">
        <v>342</v>
      </c>
      <c r="D420" s="90" t="s">
        <v>34</v>
      </c>
      <c r="E420" s="46">
        <v>43354</v>
      </c>
      <c r="F420" s="124">
        <v>4052.1600000000003</v>
      </c>
      <c r="G420" s="124">
        <v>0</v>
      </c>
      <c r="H420" s="314">
        <v>209</v>
      </c>
      <c r="I420" s="124">
        <f t="shared" si="161"/>
        <v>40521.599999999999</v>
      </c>
      <c r="J420" s="124">
        <f t="shared" si="162"/>
        <v>8335.8719999999994</v>
      </c>
      <c r="K420" s="125"/>
      <c r="L420" s="50"/>
      <c r="M420" s="470">
        <v>3752</v>
      </c>
      <c r="N420" s="87">
        <f t="shared" si="153"/>
        <v>4052.1600000000003</v>
      </c>
      <c r="O420" s="34">
        <v>70</v>
      </c>
      <c r="P420" s="34">
        <v>14.4</v>
      </c>
      <c r="Q420" s="51">
        <v>43354</v>
      </c>
      <c r="R420" s="36">
        <v>0</v>
      </c>
      <c r="S420" s="60">
        <f t="shared" si="150"/>
        <v>4052.1600000000003</v>
      </c>
      <c r="T420" s="38">
        <f t="shared" si="154"/>
        <v>3752</v>
      </c>
      <c r="U420" s="259">
        <v>0</v>
      </c>
      <c r="V420" s="39">
        <v>0.08</v>
      </c>
      <c r="W420" s="40">
        <v>44377</v>
      </c>
      <c r="X420" s="41">
        <f t="shared" si="151"/>
        <v>33</v>
      </c>
      <c r="Y420" s="42">
        <f t="shared" si="152"/>
        <v>2.75</v>
      </c>
    </row>
    <row r="421" spans="2:25" x14ac:dyDescent="0.2">
      <c r="B421" s="254" t="s">
        <v>424</v>
      </c>
      <c r="C421" s="89" t="s">
        <v>342</v>
      </c>
      <c r="D421" s="90" t="s">
        <v>34</v>
      </c>
      <c r="E421" s="46">
        <v>43001</v>
      </c>
      <c r="F421" s="124">
        <v>3238.3725480000007</v>
      </c>
      <c r="G421" s="124">
        <v>0</v>
      </c>
      <c r="H421" s="314">
        <v>209</v>
      </c>
      <c r="I421" s="124">
        <f t="shared" si="161"/>
        <v>32383.725480000005</v>
      </c>
      <c r="J421" s="124">
        <f t="shared" si="162"/>
        <v>7772.0941152000014</v>
      </c>
      <c r="K421" s="125"/>
      <c r="L421" s="50"/>
      <c r="M421" s="470">
        <v>2998.4931000000006</v>
      </c>
      <c r="N421" s="87">
        <f t="shared" si="153"/>
        <v>3238.3725480000007</v>
      </c>
      <c r="O421" s="34">
        <v>70</v>
      </c>
      <c r="P421" s="34">
        <v>16.8</v>
      </c>
      <c r="Q421" s="51">
        <v>43001</v>
      </c>
      <c r="R421" s="36">
        <v>0</v>
      </c>
      <c r="S421" s="60">
        <f t="shared" si="150"/>
        <v>3238.3725480000007</v>
      </c>
      <c r="T421" s="38">
        <f t="shared" si="154"/>
        <v>2998.4931000000006</v>
      </c>
      <c r="U421" s="259">
        <v>0</v>
      </c>
      <c r="V421" s="39">
        <v>0.08</v>
      </c>
      <c r="W421" s="40">
        <v>44377</v>
      </c>
      <c r="X421" s="41">
        <f t="shared" si="151"/>
        <v>45</v>
      </c>
      <c r="Y421" s="42">
        <f t="shared" si="152"/>
        <v>3.75</v>
      </c>
    </row>
    <row r="422" spans="2:25" x14ac:dyDescent="0.2">
      <c r="B422" s="104" t="s">
        <v>425</v>
      </c>
      <c r="C422" s="105" t="s">
        <v>342</v>
      </c>
      <c r="D422" s="45" t="s">
        <v>34</v>
      </c>
      <c r="E422" s="106">
        <v>43768</v>
      </c>
      <c r="F422" s="47">
        <v>3238.3725480000007</v>
      </c>
      <c r="G422" s="47">
        <v>0</v>
      </c>
      <c r="H422" s="48">
        <v>209</v>
      </c>
      <c r="I422" s="47">
        <f>F422/7*O422</f>
        <v>32383.725480000005</v>
      </c>
      <c r="J422" s="47">
        <f>F422/7*P422</f>
        <v>6661.7949558857154</v>
      </c>
      <c r="K422" s="49"/>
      <c r="L422" s="50"/>
      <c r="M422" s="470">
        <v>2998.4931000000006</v>
      </c>
      <c r="N422" s="87">
        <f>M422*(1+8%)</f>
        <v>3238.3725480000007</v>
      </c>
      <c r="O422" s="34">
        <v>70</v>
      </c>
      <c r="P422" s="34">
        <v>14.4</v>
      </c>
      <c r="Q422" s="51">
        <v>43768</v>
      </c>
      <c r="R422" s="36">
        <v>0</v>
      </c>
      <c r="S422" s="60">
        <f>M422*(1+V422)</f>
        <v>3238.3725480000007</v>
      </c>
      <c r="T422" s="38">
        <f>S422/1.08</f>
        <v>2998.4931000000006</v>
      </c>
      <c r="U422" s="259">
        <v>0</v>
      </c>
      <c r="V422" s="39">
        <v>0.08</v>
      </c>
      <c r="W422" s="40">
        <v>44377</v>
      </c>
      <c r="X422" s="41">
        <f>(YEAR(W422)-YEAR(E422))*12+MONTH(W422)-MONTH(E422)</f>
        <v>20</v>
      </c>
      <c r="Y422" s="42">
        <f>X422/12</f>
        <v>1.6666666666666667</v>
      </c>
    </row>
    <row r="423" spans="2:25" x14ac:dyDescent="0.2">
      <c r="B423" s="104" t="s">
        <v>645</v>
      </c>
      <c r="C423" s="105" t="s">
        <v>342</v>
      </c>
      <c r="D423" s="45" t="s">
        <v>34</v>
      </c>
      <c r="E423" s="106">
        <v>44100</v>
      </c>
      <c r="F423" s="47">
        <v>2998</v>
      </c>
      <c r="G423" s="47">
        <v>0</v>
      </c>
      <c r="H423" s="48">
        <v>209</v>
      </c>
      <c r="I423" s="47">
        <f>F423/7*O423</f>
        <v>29980</v>
      </c>
      <c r="J423" s="47">
        <f>F423/7*P423</f>
        <v>6167.3142857142857</v>
      </c>
      <c r="K423" s="49"/>
      <c r="L423" s="50"/>
      <c r="M423" s="470">
        <v>2998.4931000000006</v>
      </c>
      <c r="N423" s="87">
        <f>M423*(1+8%)</f>
        <v>3238.3725480000007</v>
      </c>
      <c r="O423" s="34">
        <v>70</v>
      </c>
      <c r="P423" s="34">
        <v>14.4</v>
      </c>
      <c r="Q423" s="51">
        <v>44100</v>
      </c>
      <c r="R423" s="36">
        <v>0</v>
      </c>
      <c r="S423" s="60">
        <f>M423*(1+V423)</f>
        <v>3238.3725480000007</v>
      </c>
      <c r="T423" s="38">
        <f>S423/1.08</f>
        <v>2998.4931000000006</v>
      </c>
      <c r="U423" s="259">
        <v>0</v>
      </c>
      <c r="V423" s="39">
        <v>0.08</v>
      </c>
      <c r="W423" s="40">
        <v>44377</v>
      </c>
      <c r="X423" s="41">
        <f>(YEAR(W423)-YEAR(E423))*12+MONTH(W423)-MONTH(E423)</f>
        <v>9</v>
      </c>
      <c r="Y423" s="42">
        <f>X423/12</f>
        <v>0.75</v>
      </c>
    </row>
    <row r="424" spans="2:25" ht="13.5" thickBot="1" x14ac:dyDescent="0.25">
      <c r="B424" s="110"/>
      <c r="C424" s="110"/>
      <c r="D424" s="111"/>
      <c r="E424" s="112"/>
      <c r="F424" s="334"/>
      <c r="G424" s="334"/>
      <c r="H424" s="335"/>
      <c r="I424" s="334"/>
      <c r="J424" s="334"/>
      <c r="K424" s="336"/>
      <c r="L424" s="50"/>
      <c r="M424" s="84"/>
      <c r="N424" s="64"/>
      <c r="Q424" s="206"/>
      <c r="S424" s="84"/>
      <c r="U424" s="337"/>
      <c r="V424" s="66"/>
      <c r="W424" s="67"/>
      <c r="X424" s="68"/>
    </row>
    <row r="425" spans="2:25" ht="24.75" customHeight="1" x14ac:dyDescent="0.2">
      <c r="B425" s="69" t="s">
        <v>39</v>
      </c>
      <c r="C425" s="69" t="s">
        <v>40</v>
      </c>
      <c r="D425" s="292"/>
      <c r="E425" s="71" t="s">
        <v>370</v>
      </c>
      <c r="F425" s="239">
        <f t="shared" ref="F425:K425" si="169">SUM(F368:F422)</f>
        <v>189783.59000400003</v>
      </c>
      <c r="G425" s="239">
        <f t="shared" si="169"/>
        <v>0</v>
      </c>
      <c r="H425" s="239">
        <f t="shared" si="169"/>
        <v>11505</v>
      </c>
      <c r="I425" s="239">
        <f t="shared" si="169"/>
        <v>1853490.647468572</v>
      </c>
      <c r="J425" s="239">
        <f t="shared" si="169"/>
        <v>404227.29881828581</v>
      </c>
      <c r="K425" s="239">
        <f t="shared" si="169"/>
        <v>23015.057060571431</v>
      </c>
      <c r="L425" s="50"/>
      <c r="M425" s="84"/>
      <c r="N425" s="64"/>
      <c r="Q425" s="206"/>
      <c r="S425" s="84"/>
      <c r="U425" s="337"/>
      <c r="V425" s="66"/>
      <c r="W425" s="67"/>
      <c r="X425" s="68"/>
    </row>
    <row r="426" spans="2:25" ht="19.5" customHeight="1" thickBot="1" x14ac:dyDescent="0.25">
      <c r="B426" s="69" t="s">
        <v>43</v>
      </c>
      <c r="C426" s="69" t="s">
        <v>44</v>
      </c>
      <c r="E426" s="232" t="s">
        <v>46</v>
      </c>
      <c r="F426" s="241">
        <f>F425/7*365</f>
        <v>9895858.6216371451</v>
      </c>
      <c r="G426" s="241">
        <f>G425*6</f>
        <v>0</v>
      </c>
      <c r="H426" s="241">
        <f>H425*52</f>
        <v>598260</v>
      </c>
      <c r="I426" s="241">
        <f>I425</f>
        <v>1853490.647468572</v>
      </c>
      <c r="J426" s="241">
        <f>J425</f>
        <v>404227.29881828581</v>
      </c>
      <c r="K426" s="241">
        <f>K425</f>
        <v>23015.057060571431</v>
      </c>
      <c r="L426" s="50"/>
      <c r="M426" s="77">
        <f>SUM(F426:K426)</f>
        <v>12774851.624984575</v>
      </c>
      <c r="N426" s="78"/>
      <c r="O426" s="80"/>
      <c r="P426" s="80"/>
      <c r="Q426" s="176"/>
      <c r="R426" s="81">
        <f>SUM(R368:R421)</f>
        <v>1547.8200000000002</v>
      </c>
      <c r="S426" s="77">
        <f>M426*(1+V426)</f>
        <v>13796839.754983343</v>
      </c>
      <c r="T426" s="77"/>
      <c r="U426" s="177">
        <f>SUM(U368:U421)</f>
        <v>0</v>
      </c>
      <c r="V426" s="82">
        <v>0.08</v>
      </c>
      <c r="W426" s="83"/>
      <c r="X426" s="178"/>
      <c r="Y426" s="179"/>
    </row>
    <row r="427" spans="2:25" x14ac:dyDescent="0.2">
      <c r="B427" s="227"/>
      <c r="C427" s="110"/>
      <c r="D427" s="111"/>
      <c r="E427" s="206"/>
      <c r="F427" s="228"/>
      <c r="G427" s="228"/>
      <c r="H427" s="230"/>
      <c r="I427" s="228"/>
      <c r="J427" s="228"/>
      <c r="K427" s="114"/>
      <c r="L427" s="50"/>
      <c r="M427" s="84"/>
      <c r="N427" s="64"/>
      <c r="O427" s="8"/>
      <c r="Q427" s="206"/>
      <c r="S427" s="84"/>
      <c r="U427" s="337"/>
      <c r="V427" s="66"/>
      <c r="W427" s="67"/>
      <c r="X427" s="68"/>
    </row>
    <row r="428" spans="2:25" ht="15" x14ac:dyDescent="0.25">
      <c r="B428" s="13"/>
      <c r="C428" s="13"/>
      <c r="D428" s="13" t="s">
        <v>639</v>
      </c>
      <c r="E428" s="13"/>
      <c r="F428" s="13"/>
      <c r="G428" s="13"/>
      <c r="H428" s="13"/>
      <c r="I428" s="14"/>
      <c r="J428" s="13"/>
      <c r="K428" s="13"/>
      <c r="L428" s="15"/>
      <c r="O428" s="1"/>
      <c r="P428" s="1"/>
      <c r="X428" s="1"/>
      <c r="Y428" s="1"/>
    </row>
    <row r="429" spans="2:25" ht="15" x14ac:dyDescent="0.25">
      <c r="B429" s="16" t="s">
        <v>4</v>
      </c>
      <c r="C429" s="16"/>
      <c r="D429" s="13" t="s">
        <v>339</v>
      </c>
      <c r="E429" s="13"/>
      <c r="F429" s="14"/>
      <c r="G429" s="14"/>
      <c r="H429" s="476"/>
      <c r="I429" s="476"/>
      <c r="J429" s="14"/>
      <c r="K429" s="17"/>
      <c r="L429" s="18"/>
      <c r="O429" s="1"/>
      <c r="P429" s="1"/>
      <c r="X429" s="1"/>
      <c r="Y429" s="1"/>
    </row>
    <row r="430" spans="2:25" ht="15.75" thickBot="1" x14ac:dyDescent="0.3">
      <c r="B430" s="18"/>
      <c r="C430" s="18"/>
      <c r="D430" s="245"/>
      <c r="E430" s="245"/>
      <c r="F430" s="15"/>
      <c r="G430" s="15"/>
      <c r="H430" s="15"/>
      <c r="I430" s="15"/>
      <c r="J430" s="15"/>
      <c r="K430" s="116"/>
      <c r="L430" s="18"/>
      <c r="N430" s="64"/>
      <c r="Q430" s="206"/>
      <c r="S430" s="84"/>
      <c r="V430" s="66"/>
      <c r="W430" s="67"/>
      <c r="X430" s="68"/>
    </row>
    <row r="431" spans="2:25" ht="12.75" customHeight="1" x14ac:dyDescent="0.2">
      <c r="B431" s="503" t="s">
        <v>6</v>
      </c>
      <c r="C431" s="499" t="s">
        <v>7</v>
      </c>
      <c r="D431" s="499" t="s">
        <v>8</v>
      </c>
      <c r="E431" s="499" t="s">
        <v>9</v>
      </c>
      <c r="F431" s="507" t="s">
        <v>340</v>
      </c>
      <c r="G431" s="483" t="s">
        <v>11</v>
      </c>
      <c r="H431" s="483" t="s">
        <v>12</v>
      </c>
      <c r="I431" s="499" t="s">
        <v>13</v>
      </c>
      <c r="J431" s="499" t="s">
        <v>14</v>
      </c>
      <c r="K431" s="501" t="s">
        <v>15</v>
      </c>
      <c r="L431" s="23"/>
      <c r="M431" s="495" t="s">
        <v>16</v>
      </c>
      <c r="N431" s="495" t="s">
        <v>17</v>
      </c>
      <c r="O431" s="489" t="s">
        <v>18</v>
      </c>
      <c r="P431" s="489" t="s">
        <v>19</v>
      </c>
      <c r="Q431" s="489" t="s">
        <v>20</v>
      </c>
      <c r="R431" s="490" t="s">
        <v>21</v>
      </c>
      <c r="S431" s="495" t="s">
        <v>22</v>
      </c>
      <c r="T431" s="495" t="s">
        <v>16</v>
      </c>
      <c r="U431" s="498" t="s">
        <v>23</v>
      </c>
      <c r="V431" s="498" t="s">
        <v>24</v>
      </c>
      <c r="W431" s="489" t="s">
        <v>25</v>
      </c>
      <c r="X431" s="489" t="s">
        <v>26</v>
      </c>
      <c r="Y431" s="497" t="s">
        <v>27</v>
      </c>
    </row>
    <row r="432" spans="2:25" ht="13.5" customHeight="1" thickBot="1" x14ac:dyDescent="0.25">
      <c r="B432" s="504"/>
      <c r="C432" s="500"/>
      <c r="D432" s="500"/>
      <c r="E432" s="500"/>
      <c r="F432" s="508"/>
      <c r="G432" s="484"/>
      <c r="H432" s="484"/>
      <c r="I432" s="500"/>
      <c r="J432" s="500"/>
      <c r="K432" s="502"/>
      <c r="L432" s="23"/>
      <c r="M432" s="495"/>
      <c r="N432" s="495"/>
      <c r="O432" s="489"/>
      <c r="P432" s="489"/>
      <c r="Q432" s="489"/>
      <c r="R432" s="490"/>
      <c r="S432" s="495"/>
      <c r="T432" s="495"/>
      <c r="U432" s="498"/>
      <c r="V432" s="498"/>
      <c r="W432" s="489"/>
      <c r="X432" s="489"/>
      <c r="Y432" s="497"/>
    </row>
    <row r="433" spans="1:25" ht="13.5" customHeight="1" thickBot="1" x14ac:dyDescent="0.25">
      <c r="B433" s="23"/>
      <c r="C433" s="23"/>
      <c r="D433" s="23"/>
      <c r="E433" s="23"/>
      <c r="F433" s="313"/>
      <c r="G433" s="247"/>
      <c r="H433" s="247"/>
      <c r="I433" s="23"/>
      <c r="J433" s="23"/>
      <c r="K433" s="248"/>
      <c r="L433" s="23"/>
      <c r="M433" s="249"/>
      <c r="N433" s="249"/>
      <c r="O433" s="250"/>
      <c r="P433" s="250"/>
      <c r="Q433" s="250"/>
      <c r="R433" s="193"/>
      <c r="S433" s="249"/>
      <c r="T433" s="249"/>
      <c r="U433" s="251"/>
      <c r="V433" s="251"/>
      <c r="W433" s="250"/>
      <c r="X433" s="250"/>
      <c r="Y433" s="252"/>
    </row>
    <row r="434" spans="1:25" ht="13.5" thickBot="1" x14ac:dyDescent="0.25">
      <c r="B434" s="117" t="s">
        <v>426</v>
      </c>
      <c r="C434" s="26" t="s">
        <v>367</v>
      </c>
      <c r="D434" s="27" t="s">
        <v>34</v>
      </c>
      <c r="E434" s="118">
        <v>43301</v>
      </c>
      <c r="F434" s="29">
        <v>4176.3384000000005</v>
      </c>
      <c r="G434" s="29">
        <v>0</v>
      </c>
      <c r="H434" s="338">
        <v>209</v>
      </c>
      <c r="I434" s="29">
        <f>F434/7*O434</f>
        <v>41763.384000000005</v>
      </c>
      <c r="J434" s="29">
        <f>F434/7*P434</f>
        <v>8591.3247085714302</v>
      </c>
      <c r="K434" s="30"/>
      <c r="L434" s="50"/>
      <c r="M434" s="460">
        <v>3866.98</v>
      </c>
      <c r="N434" s="87">
        <f>M434*(1+8%)</f>
        <v>4176.3384000000005</v>
      </c>
      <c r="O434" s="34">
        <v>70</v>
      </c>
      <c r="P434" s="34">
        <v>14.4</v>
      </c>
      <c r="Q434" s="51">
        <v>43301</v>
      </c>
      <c r="R434" s="36">
        <v>0</v>
      </c>
      <c r="S434" s="103">
        <f t="shared" ref="S434:S455" si="170">M434*(1+V434)</f>
        <v>4176.3384000000005</v>
      </c>
      <c r="T434" s="38">
        <f>S434/1.08</f>
        <v>3866.9800000000005</v>
      </c>
      <c r="U434" s="259">
        <v>0</v>
      </c>
      <c r="V434" s="39">
        <v>0.08</v>
      </c>
      <c r="W434" s="40">
        <v>44377</v>
      </c>
      <c r="X434" s="41">
        <f t="shared" ref="X434:X455" si="171">(YEAR(W434)-YEAR(E434))*12+MONTH(W434)-MONTH(E434)</f>
        <v>35</v>
      </c>
      <c r="Y434" s="42">
        <f t="shared" ref="Y434:Y455" si="172">X434/12</f>
        <v>2.9166666666666665</v>
      </c>
    </row>
    <row r="435" spans="1:25" ht="13.5" customHeight="1" thickBot="1" x14ac:dyDescent="0.25">
      <c r="B435" s="254" t="s">
        <v>427</v>
      </c>
      <c r="C435" s="89" t="s">
        <v>345</v>
      </c>
      <c r="D435" s="27" t="s">
        <v>34</v>
      </c>
      <c r="E435" s="46">
        <v>42875</v>
      </c>
      <c r="F435" s="124">
        <v>4052.1600000000003</v>
      </c>
      <c r="G435" s="124">
        <v>0</v>
      </c>
      <c r="H435" s="314">
        <v>209</v>
      </c>
      <c r="I435" s="124">
        <f>F435/7*O435</f>
        <v>40521.599999999999</v>
      </c>
      <c r="J435" s="124">
        <f>F435/7*P435</f>
        <v>9725.1840000000011</v>
      </c>
      <c r="K435" s="125"/>
      <c r="L435" s="50"/>
      <c r="M435" s="460">
        <v>3752</v>
      </c>
      <c r="N435" s="87">
        <f t="shared" ref="N435:N476" si="173">M435*(1+8%)</f>
        <v>4052.1600000000003</v>
      </c>
      <c r="O435" s="34">
        <v>70</v>
      </c>
      <c r="P435" s="34">
        <v>16.8</v>
      </c>
      <c r="Q435" s="51">
        <v>42875</v>
      </c>
      <c r="R435" s="36">
        <v>0</v>
      </c>
      <c r="S435" s="103">
        <f t="shared" si="170"/>
        <v>4052.1600000000003</v>
      </c>
      <c r="T435" s="38">
        <f t="shared" ref="T435:T476" si="174">S435/1.08</f>
        <v>3752</v>
      </c>
      <c r="U435" s="259">
        <v>0</v>
      </c>
      <c r="V435" s="39">
        <v>0.08</v>
      </c>
      <c r="W435" s="40">
        <v>44377</v>
      </c>
      <c r="X435" s="41">
        <f t="shared" si="171"/>
        <v>49</v>
      </c>
      <c r="Y435" s="42">
        <f t="shared" si="172"/>
        <v>4.083333333333333</v>
      </c>
    </row>
    <row r="436" spans="1:25" ht="12.75" customHeight="1" thickBot="1" x14ac:dyDescent="0.25">
      <c r="B436" s="254" t="s">
        <v>428</v>
      </c>
      <c r="C436" s="89" t="s">
        <v>429</v>
      </c>
      <c r="D436" s="27" t="s">
        <v>34</v>
      </c>
      <c r="E436" s="46">
        <v>43399</v>
      </c>
      <c r="F436" s="124">
        <v>4052.6892000000007</v>
      </c>
      <c r="G436" s="124">
        <v>0</v>
      </c>
      <c r="H436" s="314">
        <v>209</v>
      </c>
      <c r="I436" s="124">
        <f>F436/7*O436</f>
        <v>40526.892000000007</v>
      </c>
      <c r="J436" s="124">
        <f>F436/7*P436</f>
        <v>8336.9606400000011</v>
      </c>
      <c r="K436" s="125"/>
      <c r="L436" s="50"/>
      <c r="M436" s="460">
        <v>3752.4900000000002</v>
      </c>
      <c r="N436" s="87">
        <f t="shared" si="173"/>
        <v>4052.6892000000007</v>
      </c>
      <c r="O436" s="34">
        <v>70</v>
      </c>
      <c r="P436" s="34">
        <v>14.4</v>
      </c>
      <c r="Q436" s="51">
        <v>43399</v>
      </c>
      <c r="R436" s="36">
        <v>0</v>
      </c>
      <c r="S436" s="103">
        <f t="shared" si="170"/>
        <v>4052.6892000000007</v>
      </c>
      <c r="T436" s="38">
        <f t="shared" si="174"/>
        <v>3752.4900000000002</v>
      </c>
      <c r="U436" s="259">
        <v>0</v>
      </c>
      <c r="V436" s="39">
        <v>0.08</v>
      </c>
      <c r="W436" s="40">
        <v>44377</v>
      </c>
      <c r="X436" s="41">
        <f t="shared" si="171"/>
        <v>32</v>
      </c>
      <c r="Y436" s="42">
        <f t="shared" si="172"/>
        <v>2.6666666666666665</v>
      </c>
    </row>
    <row r="437" spans="1:25" ht="13.5" thickBot="1" x14ac:dyDescent="0.25">
      <c r="B437" s="254" t="s">
        <v>430</v>
      </c>
      <c r="C437" s="89" t="s">
        <v>429</v>
      </c>
      <c r="D437" s="27" t="s">
        <v>34</v>
      </c>
      <c r="E437" s="46">
        <v>42847</v>
      </c>
      <c r="F437" s="124">
        <v>4052.1600000000003</v>
      </c>
      <c r="G437" s="124">
        <v>0</v>
      </c>
      <c r="H437" s="314">
        <v>209</v>
      </c>
      <c r="I437" s="124">
        <f>F437/7*O437</f>
        <v>40521.599999999999</v>
      </c>
      <c r="J437" s="124">
        <f>F437/7*P437</f>
        <v>9725.1840000000011</v>
      </c>
      <c r="K437" s="125"/>
      <c r="L437" s="50"/>
      <c r="M437" s="460">
        <v>3752</v>
      </c>
      <c r="N437" s="87">
        <f t="shared" si="173"/>
        <v>4052.1600000000003</v>
      </c>
      <c r="O437" s="34">
        <v>70</v>
      </c>
      <c r="P437" s="34">
        <v>16.8</v>
      </c>
      <c r="Q437" s="51">
        <v>42847</v>
      </c>
      <c r="R437" s="36">
        <v>0</v>
      </c>
      <c r="S437" s="103">
        <f t="shared" si="170"/>
        <v>4052.1600000000003</v>
      </c>
      <c r="T437" s="38">
        <f t="shared" si="174"/>
        <v>3752</v>
      </c>
      <c r="U437" s="259">
        <v>0</v>
      </c>
      <c r="V437" s="39">
        <v>0.08</v>
      </c>
      <c r="W437" s="40">
        <v>44377</v>
      </c>
      <c r="X437" s="41">
        <f t="shared" si="171"/>
        <v>50</v>
      </c>
      <c r="Y437" s="42">
        <f t="shared" si="172"/>
        <v>4.166666666666667</v>
      </c>
    </row>
    <row r="438" spans="1:25" s="130" customFormat="1" ht="13.5" thickBot="1" x14ac:dyDescent="0.25">
      <c r="A438" s="130" t="s">
        <v>90</v>
      </c>
      <c r="B438" s="254" t="s">
        <v>431</v>
      </c>
      <c r="C438" s="303" t="s">
        <v>342</v>
      </c>
      <c r="D438" s="27" t="s">
        <v>34</v>
      </c>
      <c r="E438" s="166">
        <v>43739</v>
      </c>
      <c r="F438" s="305">
        <v>3237.9912000000004</v>
      </c>
      <c r="G438" s="305">
        <v>0</v>
      </c>
      <c r="H438" s="320">
        <v>209</v>
      </c>
      <c r="I438" s="305">
        <v>6804.8571428571431</v>
      </c>
      <c r="J438" s="305">
        <v>2737.9542857142856</v>
      </c>
      <c r="K438" s="306"/>
      <c r="L438" s="50"/>
      <c r="M438" s="460">
        <v>2998.1400000000003</v>
      </c>
      <c r="N438" s="87">
        <f t="shared" si="173"/>
        <v>3237.9912000000004</v>
      </c>
      <c r="O438" s="34">
        <v>70</v>
      </c>
      <c r="P438" s="34">
        <v>14.4</v>
      </c>
      <c r="Q438" s="51">
        <v>43739</v>
      </c>
      <c r="R438" s="36">
        <v>0</v>
      </c>
      <c r="S438" s="181">
        <f t="shared" si="170"/>
        <v>3237.9912000000004</v>
      </c>
      <c r="T438" s="38">
        <f t="shared" si="174"/>
        <v>2998.1400000000003</v>
      </c>
      <c r="U438" s="307">
        <v>0</v>
      </c>
      <c r="V438" s="39">
        <v>0.08</v>
      </c>
      <c r="W438" s="144">
        <v>44377</v>
      </c>
      <c r="X438" s="145">
        <f t="shared" si="171"/>
        <v>20</v>
      </c>
      <c r="Y438" s="146">
        <f t="shared" si="172"/>
        <v>1.6666666666666667</v>
      </c>
    </row>
    <row r="439" spans="1:25" s="130" customFormat="1" ht="13.5" thickBot="1" x14ac:dyDescent="0.25">
      <c r="B439" s="254" t="s">
        <v>432</v>
      </c>
      <c r="C439" s="303" t="s">
        <v>342</v>
      </c>
      <c r="D439" s="27" t="s">
        <v>34</v>
      </c>
      <c r="E439" s="166">
        <v>43894</v>
      </c>
      <c r="F439" s="305">
        <v>3237.9912000000004</v>
      </c>
      <c r="G439" s="305">
        <v>0</v>
      </c>
      <c r="H439" s="320">
        <v>209</v>
      </c>
      <c r="I439" s="305">
        <v>6804.8571428571431</v>
      </c>
      <c r="J439" s="305">
        <v>2737.9542857142856</v>
      </c>
      <c r="K439" s="306"/>
      <c r="L439" s="50"/>
      <c r="M439" s="460">
        <v>2998.1400000000003</v>
      </c>
      <c r="N439" s="87">
        <f t="shared" si="173"/>
        <v>3237.9912000000004</v>
      </c>
      <c r="O439" s="34">
        <v>70</v>
      </c>
      <c r="P439" s="34">
        <v>14.4</v>
      </c>
      <c r="Q439" s="51">
        <v>43894</v>
      </c>
      <c r="R439" s="36">
        <v>0</v>
      </c>
      <c r="S439" s="181">
        <f t="shared" si="170"/>
        <v>3237.9912000000004</v>
      </c>
      <c r="T439" s="38">
        <f t="shared" si="174"/>
        <v>2998.1400000000003</v>
      </c>
      <c r="U439" s="307">
        <v>0</v>
      </c>
      <c r="V439" s="39">
        <v>0.08</v>
      </c>
      <c r="W439" s="144">
        <v>44377</v>
      </c>
      <c r="X439" s="145">
        <f t="shared" si="171"/>
        <v>15</v>
      </c>
      <c r="Y439" s="146">
        <f t="shared" si="172"/>
        <v>1.25</v>
      </c>
    </row>
    <row r="440" spans="1:25" ht="13.5" thickBot="1" x14ac:dyDescent="0.25">
      <c r="B440" s="254" t="s">
        <v>433</v>
      </c>
      <c r="C440" s="89" t="s">
        <v>342</v>
      </c>
      <c r="D440" s="27" t="s">
        <v>34</v>
      </c>
      <c r="E440" s="46">
        <v>42637</v>
      </c>
      <c r="F440" s="124">
        <v>3238.3725480000007</v>
      </c>
      <c r="G440" s="124">
        <v>0</v>
      </c>
      <c r="H440" s="314">
        <v>1096</v>
      </c>
      <c r="I440" s="124">
        <f t="shared" ref="I440:I457" si="175">F440/7*O440</f>
        <v>32383.725480000005</v>
      </c>
      <c r="J440" s="124">
        <f t="shared" ref="J440:J457" si="176">F440/7*P440</f>
        <v>7772.0941152000014</v>
      </c>
      <c r="K440" s="125"/>
      <c r="L440" s="50"/>
      <c r="M440" s="460">
        <v>2998.4931000000006</v>
      </c>
      <c r="N440" s="87">
        <f t="shared" si="173"/>
        <v>3238.3725480000007</v>
      </c>
      <c r="O440" s="34">
        <v>70</v>
      </c>
      <c r="P440" s="34">
        <v>16.8</v>
      </c>
      <c r="Q440" s="51">
        <v>42637</v>
      </c>
      <c r="R440" s="36">
        <v>0</v>
      </c>
      <c r="S440" s="103">
        <f t="shared" si="170"/>
        <v>3238.3725480000007</v>
      </c>
      <c r="T440" s="38">
        <f t="shared" si="174"/>
        <v>2998.4931000000006</v>
      </c>
      <c r="U440" s="259">
        <v>0</v>
      </c>
      <c r="V440" s="39">
        <v>0.08</v>
      </c>
      <c r="W440" s="40">
        <v>44377</v>
      </c>
      <c r="X440" s="41">
        <f t="shared" si="171"/>
        <v>57</v>
      </c>
      <c r="Y440" s="42">
        <f t="shared" si="172"/>
        <v>4.75</v>
      </c>
    </row>
    <row r="441" spans="1:25" ht="13.5" thickBot="1" x14ac:dyDescent="0.25">
      <c r="B441" s="254" t="s">
        <v>434</v>
      </c>
      <c r="C441" s="89" t="s">
        <v>342</v>
      </c>
      <c r="D441" s="27" t="s">
        <v>34</v>
      </c>
      <c r="E441" s="46">
        <v>43395</v>
      </c>
      <c r="F441" s="124">
        <v>3237.9912000000004</v>
      </c>
      <c r="G441" s="124">
        <v>0</v>
      </c>
      <c r="H441" s="314">
        <v>209</v>
      </c>
      <c r="I441" s="124">
        <f t="shared" si="175"/>
        <v>32379.912000000004</v>
      </c>
      <c r="J441" s="124">
        <f t="shared" si="176"/>
        <v>6661.0104685714296</v>
      </c>
      <c r="K441" s="125"/>
      <c r="L441" s="50"/>
      <c r="M441" s="460">
        <v>2998.1400000000003</v>
      </c>
      <c r="N441" s="87">
        <f t="shared" si="173"/>
        <v>3237.9912000000004</v>
      </c>
      <c r="O441" s="34">
        <v>70</v>
      </c>
      <c r="P441" s="34">
        <v>14.4</v>
      </c>
      <c r="Q441" s="51">
        <v>43395</v>
      </c>
      <c r="R441" s="36">
        <v>0</v>
      </c>
      <c r="S441" s="103">
        <f t="shared" si="170"/>
        <v>3237.9912000000004</v>
      </c>
      <c r="T441" s="38">
        <f t="shared" si="174"/>
        <v>2998.1400000000003</v>
      </c>
      <c r="U441" s="259">
        <v>0</v>
      </c>
      <c r="V441" s="39">
        <v>0.08</v>
      </c>
      <c r="W441" s="40">
        <v>44377</v>
      </c>
      <c r="X441" s="41">
        <f t="shared" si="171"/>
        <v>32</v>
      </c>
      <c r="Y441" s="42">
        <f t="shared" si="172"/>
        <v>2.6666666666666665</v>
      </c>
    </row>
    <row r="442" spans="1:25" ht="13.5" thickBot="1" x14ac:dyDescent="0.25">
      <c r="B442" s="254" t="s">
        <v>435</v>
      </c>
      <c r="C442" s="89" t="s">
        <v>342</v>
      </c>
      <c r="D442" s="27" t="s">
        <v>34</v>
      </c>
      <c r="E442" s="46">
        <v>43218</v>
      </c>
      <c r="F442" s="124">
        <v>3238.3725480000007</v>
      </c>
      <c r="G442" s="124">
        <v>0</v>
      </c>
      <c r="H442" s="314">
        <v>209</v>
      </c>
      <c r="I442" s="124">
        <f t="shared" si="175"/>
        <v>32383.725480000005</v>
      </c>
      <c r="J442" s="124">
        <f t="shared" si="176"/>
        <v>7772.0941152000014</v>
      </c>
      <c r="K442" s="125"/>
      <c r="L442" s="50"/>
      <c r="M442" s="460">
        <v>2998.4931000000006</v>
      </c>
      <c r="N442" s="87">
        <f t="shared" si="173"/>
        <v>3238.3725480000007</v>
      </c>
      <c r="O442" s="34">
        <v>70</v>
      </c>
      <c r="P442" s="34">
        <v>16.8</v>
      </c>
      <c r="Q442" s="51">
        <v>43218</v>
      </c>
      <c r="R442" s="36">
        <v>0</v>
      </c>
      <c r="S442" s="103">
        <f t="shared" si="170"/>
        <v>3238.3725480000007</v>
      </c>
      <c r="T442" s="38">
        <f t="shared" si="174"/>
        <v>2998.4931000000006</v>
      </c>
      <c r="U442" s="259">
        <v>0</v>
      </c>
      <c r="V442" s="39">
        <v>0.08</v>
      </c>
      <c r="W442" s="40">
        <v>44377</v>
      </c>
      <c r="X442" s="41">
        <f t="shared" si="171"/>
        <v>38</v>
      </c>
      <c r="Y442" s="42">
        <f t="shared" si="172"/>
        <v>3.1666666666666665</v>
      </c>
    </row>
    <row r="443" spans="1:25" ht="13.5" thickBot="1" x14ac:dyDescent="0.25">
      <c r="B443" s="254" t="s">
        <v>436</v>
      </c>
      <c r="C443" s="89" t="s">
        <v>342</v>
      </c>
      <c r="D443" s="27" t="s">
        <v>34</v>
      </c>
      <c r="E443" s="46">
        <v>43218</v>
      </c>
      <c r="F443" s="301">
        <v>4052.1600000000003</v>
      </c>
      <c r="G443" s="124">
        <v>0</v>
      </c>
      <c r="H443" s="314">
        <v>209</v>
      </c>
      <c r="I443" s="124">
        <f t="shared" si="175"/>
        <v>40521.599999999999</v>
      </c>
      <c r="J443" s="124">
        <f t="shared" si="176"/>
        <v>9725.1840000000011</v>
      </c>
      <c r="K443" s="125"/>
      <c r="L443" s="50"/>
      <c r="M443" s="460">
        <v>3752</v>
      </c>
      <c r="N443" s="87">
        <f t="shared" si="173"/>
        <v>4052.1600000000003</v>
      </c>
      <c r="O443" s="34">
        <v>70</v>
      </c>
      <c r="P443" s="34">
        <v>16.8</v>
      </c>
      <c r="Q443" s="51">
        <v>43218</v>
      </c>
      <c r="R443" s="36">
        <v>0</v>
      </c>
      <c r="S443" s="103">
        <f t="shared" si="170"/>
        <v>4052.1600000000003</v>
      </c>
      <c r="T443" s="38">
        <f t="shared" si="174"/>
        <v>3752</v>
      </c>
      <c r="U443" s="259">
        <v>0</v>
      </c>
      <c r="V443" s="39">
        <v>0.08</v>
      </c>
      <c r="W443" s="40">
        <v>44377</v>
      </c>
      <c r="X443" s="41">
        <f t="shared" si="171"/>
        <v>38</v>
      </c>
      <c r="Y443" s="42">
        <f t="shared" si="172"/>
        <v>3.1666666666666665</v>
      </c>
    </row>
    <row r="444" spans="1:25" ht="13.5" thickBot="1" x14ac:dyDescent="0.25">
      <c r="B444" s="254" t="s">
        <v>437</v>
      </c>
      <c r="C444" s="89" t="s">
        <v>342</v>
      </c>
      <c r="D444" s="27" t="s">
        <v>34</v>
      </c>
      <c r="E444" s="46">
        <v>43416</v>
      </c>
      <c r="F444" s="301">
        <v>4052.1600000000003</v>
      </c>
      <c r="G444" s="124">
        <v>0</v>
      </c>
      <c r="H444" s="314">
        <v>209</v>
      </c>
      <c r="I444" s="124">
        <f t="shared" si="175"/>
        <v>40521.599999999999</v>
      </c>
      <c r="J444" s="124">
        <f t="shared" si="176"/>
        <v>8335.8719999999994</v>
      </c>
      <c r="K444" s="125"/>
      <c r="L444" s="50"/>
      <c r="M444" s="460">
        <v>3752</v>
      </c>
      <c r="N444" s="87">
        <f t="shared" si="173"/>
        <v>4052.1600000000003</v>
      </c>
      <c r="O444" s="34">
        <v>70</v>
      </c>
      <c r="P444" s="34">
        <v>14.4</v>
      </c>
      <c r="Q444" s="51">
        <v>43416</v>
      </c>
      <c r="R444" s="36">
        <v>0</v>
      </c>
      <c r="S444" s="103">
        <f t="shared" si="170"/>
        <v>4052.1600000000003</v>
      </c>
      <c r="T444" s="38">
        <f t="shared" si="174"/>
        <v>3752</v>
      </c>
      <c r="U444" s="259">
        <v>0</v>
      </c>
      <c r="V444" s="39">
        <v>0.08</v>
      </c>
      <c r="W444" s="40">
        <v>44377</v>
      </c>
      <c r="X444" s="41">
        <f t="shared" si="171"/>
        <v>31</v>
      </c>
      <c r="Y444" s="42">
        <f t="shared" si="172"/>
        <v>2.5833333333333335</v>
      </c>
    </row>
    <row r="445" spans="1:25" ht="13.5" thickBot="1" x14ac:dyDescent="0.25">
      <c r="B445" s="254" t="s">
        <v>438</v>
      </c>
      <c r="C445" s="89" t="s">
        <v>345</v>
      </c>
      <c r="D445" s="27" t="s">
        <v>34</v>
      </c>
      <c r="E445" s="46">
        <v>43348</v>
      </c>
      <c r="F445" s="124">
        <v>4052.1600000000003</v>
      </c>
      <c r="G445" s="124">
        <v>0</v>
      </c>
      <c r="H445" s="314">
        <v>209</v>
      </c>
      <c r="I445" s="124">
        <f t="shared" si="175"/>
        <v>40521.599999999999</v>
      </c>
      <c r="J445" s="124">
        <f t="shared" si="176"/>
        <v>8335.8719999999994</v>
      </c>
      <c r="K445" s="125"/>
      <c r="L445" s="50"/>
      <c r="M445" s="460">
        <v>3752</v>
      </c>
      <c r="N445" s="87">
        <f t="shared" si="173"/>
        <v>4052.1600000000003</v>
      </c>
      <c r="O445" s="34">
        <v>70</v>
      </c>
      <c r="P445" s="34">
        <v>14.4</v>
      </c>
      <c r="Q445" s="51">
        <v>43348</v>
      </c>
      <c r="R445" s="36">
        <v>0</v>
      </c>
      <c r="S445" s="103">
        <f t="shared" si="170"/>
        <v>4052.1600000000003</v>
      </c>
      <c r="T445" s="38">
        <f t="shared" si="174"/>
        <v>3752</v>
      </c>
      <c r="U445" s="259">
        <v>0</v>
      </c>
      <c r="V445" s="39">
        <v>0.08</v>
      </c>
      <c r="W445" s="40">
        <v>44377</v>
      </c>
      <c r="X445" s="41">
        <f t="shared" si="171"/>
        <v>33</v>
      </c>
      <c r="Y445" s="42">
        <f t="shared" si="172"/>
        <v>2.75</v>
      </c>
    </row>
    <row r="446" spans="1:25" ht="13.5" thickBot="1" x14ac:dyDescent="0.25">
      <c r="B446" s="254" t="s">
        <v>439</v>
      </c>
      <c r="C446" s="89" t="s">
        <v>342</v>
      </c>
      <c r="D446" s="27" t="s">
        <v>34</v>
      </c>
      <c r="E446" s="46">
        <v>43514</v>
      </c>
      <c r="F446" s="124">
        <v>3237.9912000000004</v>
      </c>
      <c r="G446" s="124">
        <v>0</v>
      </c>
      <c r="H446" s="314">
        <v>209</v>
      </c>
      <c r="I446" s="124">
        <f t="shared" si="175"/>
        <v>32379.912000000004</v>
      </c>
      <c r="J446" s="124">
        <f t="shared" si="176"/>
        <v>6661.0104685714296</v>
      </c>
      <c r="K446" s="125"/>
      <c r="L446" s="50"/>
      <c r="M446" s="460">
        <v>2998.1400000000003</v>
      </c>
      <c r="N446" s="87">
        <f t="shared" si="173"/>
        <v>3237.9912000000004</v>
      </c>
      <c r="O446" s="34">
        <v>70</v>
      </c>
      <c r="P446" s="34">
        <v>14.4</v>
      </c>
      <c r="Q446" s="51">
        <v>43514</v>
      </c>
      <c r="R446" s="36">
        <v>0</v>
      </c>
      <c r="S446" s="103">
        <f t="shared" si="170"/>
        <v>3237.9912000000004</v>
      </c>
      <c r="T446" s="38">
        <f t="shared" si="174"/>
        <v>2998.1400000000003</v>
      </c>
      <c r="U446" s="259">
        <v>0</v>
      </c>
      <c r="V446" s="39">
        <v>0.08</v>
      </c>
      <c r="W446" s="40">
        <v>44377</v>
      </c>
      <c r="X446" s="41">
        <f t="shared" si="171"/>
        <v>28</v>
      </c>
      <c r="Y446" s="42">
        <f t="shared" si="172"/>
        <v>2.3333333333333335</v>
      </c>
    </row>
    <row r="447" spans="1:25" ht="13.5" thickBot="1" x14ac:dyDescent="0.25">
      <c r="B447" s="254" t="s">
        <v>440</v>
      </c>
      <c r="C447" s="89" t="s">
        <v>342</v>
      </c>
      <c r="D447" s="27" t="s">
        <v>34</v>
      </c>
      <c r="E447" s="46">
        <v>43348</v>
      </c>
      <c r="F447" s="124">
        <v>3238.3725480000007</v>
      </c>
      <c r="G447" s="124">
        <v>0</v>
      </c>
      <c r="H447" s="314">
        <v>209</v>
      </c>
      <c r="I447" s="124">
        <f t="shared" si="175"/>
        <v>32383.725480000005</v>
      </c>
      <c r="J447" s="124">
        <f t="shared" si="176"/>
        <v>6661.7949558857154</v>
      </c>
      <c r="K447" s="125"/>
      <c r="L447" s="50"/>
      <c r="M447" s="460">
        <v>2998.4931000000006</v>
      </c>
      <c r="N447" s="87">
        <f t="shared" si="173"/>
        <v>3238.3725480000007</v>
      </c>
      <c r="O447" s="34">
        <v>70</v>
      </c>
      <c r="P447" s="34">
        <v>14.4</v>
      </c>
      <c r="Q447" s="51">
        <v>43348</v>
      </c>
      <c r="R447" s="36">
        <v>0</v>
      </c>
      <c r="S447" s="103">
        <f t="shared" si="170"/>
        <v>3238.3725480000007</v>
      </c>
      <c r="T447" s="38">
        <f t="shared" si="174"/>
        <v>2998.4931000000006</v>
      </c>
      <c r="U447" s="259">
        <v>0</v>
      </c>
      <c r="V447" s="39">
        <v>0.08</v>
      </c>
      <c r="W447" s="40">
        <v>44377</v>
      </c>
      <c r="X447" s="41">
        <f t="shared" si="171"/>
        <v>33</v>
      </c>
      <c r="Y447" s="42">
        <f t="shared" si="172"/>
        <v>2.75</v>
      </c>
    </row>
    <row r="448" spans="1:25" ht="13.5" thickBot="1" x14ac:dyDescent="0.25">
      <c r="B448" s="254" t="s">
        <v>441</v>
      </c>
      <c r="C448" s="89" t="s">
        <v>345</v>
      </c>
      <c r="D448" s="27" t="s">
        <v>34</v>
      </c>
      <c r="E448" s="46">
        <v>43354</v>
      </c>
      <c r="F448" s="124">
        <v>4052.1600000000003</v>
      </c>
      <c r="G448" s="124">
        <v>0</v>
      </c>
      <c r="H448" s="314">
        <v>209</v>
      </c>
      <c r="I448" s="124">
        <f t="shared" si="175"/>
        <v>40521.599999999999</v>
      </c>
      <c r="J448" s="124">
        <f t="shared" si="176"/>
        <v>8335.8719999999994</v>
      </c>
      <c r="K448" s="125"/>
      <c r="L448" s="50"/>
      <c r="M448" s="460">
        <v>3752</v>
      </c>
      <c r="N448" s="87">
        <f t="shared" si="173"/>
        <v>4052.1600000000003</v>
      </c>
      <c r="O448" s="34">
        <v>70</v>
      </c>
      <c r="P448" s="34">
        <v>14.4</v>
      </c>
      <c r="Q448" s="51">
        <v>43354</v>
      </c>
      <c r="R448" s="36">
        <v>0</v>
      </c>
      <c r="S448" s="103">
        <f t="shared" si="170"/>
        <v>4052.1600000000003</v>
      </c>
      <c r="T448" s="38">
        <f t="shared" si="174"/>
        <v>3752</v>
      </c>
      <c r="U448" s="259">
        <v>0</v>
      </c>
      <c r="V448" s="39">
        <v>0.08</v>
      </c>
      <c r="W448" s="40">
        <v>44377</v>
      </c>
      <c r="X448" s="41">
        <f t="shared" si="171"/>
        <v>33</v>
      </c>
      <c r="Y448" s="42">
        <f t="shared" si="172"/>
        <v>2.75</v>
      </c>
    </row>
    <row r="449" spans="1:25" ht="13.5" thickBot="1" x14ac:dyDescent="0.25">
      <c r="B449" s="254" t="s">
        <v>442</v>
      </c>
      <c r="C449" s="89" t="s">
        <v>342</v>
      </c>
      <c r="D449" s="27" t="s">
        <v>34</v>
      </c>
      <c r="E449" s="46">
        <v>43354</v>
      </c>
      <c r="F449" s="124">
        <v>3238.3725480000007</v>
      </c>
      <c r="G449" s="124">
        <v>0</v>
      </c>
      <c r="H449" s="314">
        <v>209</v>
      </c>
      <c r="I449" s="124">
        <f t="shared" si="175"/>
        <v>32383.725480000005</v>
      </c>
      <c r="J449" s="124">
        <f t="shared" si="176"/>
        <v>6661.7949558857154</v>
      </c>
      <c r="K449" s="125"/>
      <c r="L449" s="50"/>
      <c r="M449" s="460">
        <v>2998.4931000000006</v>
      </c>
      <c r="N449" s="87">
        <f t="shared" si="173"/>
        <v>3238.3725480000007</v>
      </c>
      <c r="O449" s="34">
        <v>70</v>
      </c>
      <c r="P449" s="34">
        <v>14.4</v>
      </c>
      <c r="Q449" s="51">
        <v>43354</v>
      </c>
      <c r="R449" s="36">
        <v>0</v>
      </c>
      <c r="S449" s="103">
        <f t="shared" si="170"/>
        <v>3238.3725480000007</v>
      </c>
      <c r="T449" s="38">
        <f t="shared" si="174"/>
        <v>2998.4931000000006</v>
      </c>
      <c r="U449" s="259">
        <v>0</v>
      </c>
      <c r="V449" s="39">
        <v>0.08</v>
      </c>
      <c r="W449" s="40">
        <v>44377</v>
      </c>
      <c r="X449" s="41">
        <f t="shared" si="171"/>
        <v>33</v>
      </c>
      <c r="Y449" s="42">
        <f t="shared" si="172"/>
        <v>2.75</v>
      </c>
    </row>
    <row r="450" spans="1:25" ht="13.5" thickBot="1" x14ac:dyDescent="0.25">
      <c r="B450" s="254" t="s">
        <v>443</v>
      </c>
      <c r="C450" s="89" t="s">
        <v>342</v>
      </c>
      <c r="D450" s="27" t="s">
        <v>34</v>
      </c>
      <c r="E450" s="46">
        <v>43255</v>
      </c>
      <c r="F450" s="124">
        <v>3238.3725480000007</v>
      </c>
      <c r="G450" s="124">
        <v>0</v>
      </c>
      <c r="H450" s="314">
        <v>209</v>
      </c>
      <c r="I450" s="124">
        <f t="shared" si="175"/>
        <v>32383.725480000005</v>
      </c>
      <c r="J450" s="124">
        <f t="shared" si="176"/>
        <v>7772.0941152000014</v>
      </c>
      <c r="K450" s="125"/>
      <c r="L450" s="50"/>
      <c r="M450" s="460">
        <v>2998.4931000000006</v>
      </c>
      <c r="N450" s="87">
        <f t="shared" si="173"/>
        <v>3238.3725480000007</v>
      </c>
      <c r="O450" s="34">
        <v>70</v>
      </c>
      <c r="P450" s="34">
        <v>16.8</v>
      </c>
      <c r="Q450" s="51">
        <v>43255</v>
      </c>
      <c r="R450" s="36">
        <v>0</v>
      </c>
      <c r="S450" s="103">
        <f t="shared" si="170"/>
        <v>3238.3725480000007</v>
      </c>
      <c r="T450" s="38">
        <f t="shared" si="174"/>
        <v>2998.4931000000006</v>
      </c>
      <c r="U450" s="259">
        <v>0</v>
      </c>
      <c r="V450" s="39">
        <v>0.08</v>
      </c>
      <c r="W450" s="40">
        <v>44377</v>
      </c>
      <c r="X450" s="41">
        <f t="shared" si="171"/>
        <v>36</v>
      </c>
      <c r="Y450" s="42">
        <f t="shared" si="172"/>
        <v>3</v>
      </c>
    </row>
    <row r="451" spans="1:25" ht="13.5" thickBot="1" x14ac:dyDescent="0.25">
      <c r="B451" s="254" t="s">
        <v>444</v>
      </c>
      <c r="C451" s="89" t="s">
        <v>345</v>
      </c>
      <c r="D451" s="27" t="s">
        <v>34</v>
      </c>
      <c r="E451" s="46">
        <v>43219</v>
      </c>
      <c r="F451" s="124">
        <v>4052.1600000000003</v>
      </c>
      <c r="G451" s="124">
        <v>0</v>
      </c>
      <c r="H451" s="314">
        <v>209</v>
      </c>
      <c r="I451" s="124">
        <f t="shared" si="175"/>
        <v>40521.599999999999</v>
      </c>
      <c r="J451" s="124">
        <f t="shared" si="176"/>
        <v>9725.1840000000011</v>
      </c>
      <c r="K451" s="125"/>
      <c r="L451" s="50"/>
      <c r="M451" s="460">
        <v>3752</v>
      </c>
      <c r="N451" s="87">
        <f t="shared" si="173"/>
        <v>4052.1600000000003</v>
      </c>
      <c r="O451" s="34">
        <v>70</v>
      </c>
      <c r="P451" s="34">
        <v>16.8</v>
      </c>
      <c r="Q451" s="51">
        <v>43219</v>
      </c>
      <c r="R451" s="36">
        <v>0</v>
      </c>
      <c r="S451" s="103">
        <f t="shared" si="170"/>
        <v>4052.1600000000003</v>
      </c>
      <c r="T451" s="38">
        <f t="shared" si="174"/>
        <v>3752</v>
      </c>
      <c r="U451" s="259">
        <v>0</v>
      </c>
      <c r="V451" s="39">
        <v>0.08</v>
      </c>
      <c r="W451" s="40">
        <v>44377</v>
      </c>
      <c r="X451" s="41">
        <f t="shared" si="171"/>
        <v>38</v>
      </c>
      <c r="Y451" s="42">
        <f t="shared" si="172"/>
        <v>3.1666666666666665</v>
      </c>
    </row>
    <row r="452" spans="1:25" ht="13.5" thickBot="1" x14ac:dyDescent="0.25">
      <c r="B452" s="254" t="s">
        <v>445</v>
      </c>
      <c r="C452" s="89" t="s">
        <v>345</v>
      </c>
      <c r="D452" s="27" t="s">
        <v>34</v>
      </c>
      <c r="E452" s="46">
        <v>43344</v>
      </c>
      <c r="F452" s="124">
        <v>4052.1600000000003</v>
      </c>
      <c r="G452" s="124">
        <v>0</v>
      </c>
      <c r="H452" s="314">
        <v>209</v>
      </c>
      <c r="I452" s="124">
        <f t="shared" si="175"/>
        <v>40521.599999999999</v>
      </c>
      <c r="J452" s="124">
        <f t="shared" si="176"/>
        <v>8335.8719999999994</v>
      </c>
      <c r="K452" s="125"/>
      <c r="L452" s="50"/>
      <c r="M452" s="460">
        <v>3752</v>
      </c>
      <c r="N452" s="87">
        <f t="shared" si="173"/>
        <v>4052.1600000000003</v>
      </c>
      <c r="O452" s="34">
        <v>70</v>
      </c>
      <c r="P452" s="34">
        <v>14.4</v>
      </c>
      <c r="Q452" s="51">
        <v>43344</v>
      </c>
      <c r="R452" s="36">
        <v>0</v>
      </c>
      <c r="S452" s="103">
        <f t="shared" si="170"/>
        <v>4052.1600000000003</v>
      </c>
      <c r="T452" s="38">
        <f t="shared" si="174"/>
        <v>3752</v>
      </c>
      <c r="U452" s="259">
        <v>0</v>
      </c>
      <c r="V452" s="39">
        <v>0.08</v>
      </c>
      <c r="W452" s="40">
        <v>44377</v>
      </c>
      <c r="X452" s="41">
        <f t="shared" si="171"/>
        <v>33</v>
      </c>
      <c r="Y452" s="42">
        <f t="shared" si="172"/>
        <v>2.75</v>
      </c>
    </row>
    <row r="453" spans="1:25" ht="13.5" thickBot="1" x14ac:dyDescent="0.25">
      <c r="B453" s="254" t="s">
        <v>446</v>
      </c>
      <c r="C453" s="89" t="s">
        <v>342</v>
      </c>
      <c r="D453" s="27" t="s">
        <v>34</v>
      </c>
      <c r="E453" s="46">
        <v>43349</v>
      </c>
      <c r="F453" s="301">
        <v>4052.1600000000003</v>
      </c>
      <c r="G453" s="124">
        <v>0</v>
      </c>
      <c r="H453" s="314">
        <v>209</v>
      </c>
      <c r="I453" s="124">
        <f t="shared" si="175"/>
        <v>40521.599999999999</v>
      </c>
      <c r="J453" s="124">
        <f t="shared" si="176"/>
        <v>8335.8719999999994</v>
      </c>
      <c r="K453" s="125"/>
      <c r="L453" s="50"/>
      <c r="M453" s="460">
        <v>3752</v>
      </c>
      <c r="N453" s="87">
        <f t="shared" si="173"/>
        <v>4052.1600000000003</v>
      </c>
      <c r="O453" s="34">
        <v>70</v>
      </c>
      <c r="P453" s="34">
        <v>14.4</v>
      </c>
      <c r="Q453" s="51">
        <v>43349</v>
      </c>
      <c r="R453" s="36">
        <v>0</v>
      </c>
      <c r="S453" s="103">
        <f t="shared" si="170"/>
        <v>4052.1600000000003</v>
      </c>
      <c r="T453" s="38">
        <f t="shared" si="174"/>
        <v>3752</v>
      </c>
      <c r="U453" s="259">
        <v>0</v>
      </c>
      <c r="V453" s="39">
        <v>0.08</v>
      </c>
      <c r="W453" s="40">
        <v>44377</v>
      </c>
      <c r="X453" s="41">
        <f t="shared" si="171"/>
        <v>33</v>
      </c>
      <c r="Y453" s="42">
        <f t="shared" si="172"/>
        <v>2.75</v>
      </c>
    </row>
    <row r="454" spans="1:25" ht="13.5" thickBot="1" x14ac:dyDescent="0.25">
      <c r="B454" s="254" t="s">
        <v>447</v>
      </c>
      <c r="C454" s="89" t="s">
        <v>342</v>
      </c>
      <c r="D454" s="27" t="s">
        <v>34</v>
      </c>
      <c r="E454" s="46">
        <v>42721</v>
      </c>
      <c r="F454" s="124">
        <v>3238.3725480000007</v>
      </c>
      <c r="G454" s="124">
        <v>0</v>
      </c>
      <c r="H454" s="314">
        <v>209</v>
      </c>
      <c r="I454" s="124">
        <f t="shared" si="175"/>
        <v>32383.725480000005</v>
      </c>
      <c r="J454" s="124">
        <f t="shared" si="176"/>
        <v>7772.0941152000014</v>
      </c>
      <c r="K454" s="125"/>
      <c r="L454" s="50"/>
      <c r="M454" s="460">
        <v>2998.4931000000006</v>
      </c>
      <c r="N454" s="87">
        <f t="shared" si="173"/>
        <v>3238.3725480000007</v>
      </c>
      <c r="O454" s="34">
        <v>70</v>
      </c>
      <c r="P454" s="34">
        <v>16.8</v>
      </c>
      <c r="Q454" s="51">
        <v>42721</v>
      </c>
      <c r="R454" s="36">
        <v>0</v>
      </c>
      <c r="S454" s="103">
        <f t="shared" si="170"/>
        <v>3238.3725480000007</v>
      </c>
      <c r="T454" s="38">
        <f t="shared" si="174"/>
        <v>2998.4931000000006</v>
      </c>
      <c r="U454" s="259">
        <v>0</v>
      </c>
      <c r="V454" s="39">
        <v>0.08</v>
      </c>
      <c r="W454" s="40">
        <v>44377</v>
      </c>
      <c r="X454" s="41">
        <f t="shared" si="171"/>
        <v>54</v>
      </c>
      <c r="Y454" s="42">
        <f t="shared" si="172"/>
        <v>4.5</v>
      </c>
    </row>
    <row r="455" spans="1:25" ht="13.5" thickBot="1" x14ac:dyDescent="0.25">
      <c r="B455" s="254" t="s">
        <v>448</v>
      </c>
      <c r="C455" s="89" t="s">
        <v>345</v>
      </c>
      <c r="D455" s="27" t="s">
        <v>34</v>
      </c>
      <c r="E455" s="46">
        <v>43116</v>
      </c>
      <c r="F455" s="301">
        <v>3237.84</v>
      </c>
      <c r="G455" s="124">
        <v>0</v>
      </c>
      <c r="H455" s="314">
        <v>209</v>
      </c>
      <c r="I455" s="124">
        <f t="shared" si="175"/>
        <v>32378.400000000001</v>
      </c>
      <c r="J455" s="124">
        <f t="shared" si="176"/>
        <v>7770.8160000000007</v>
      </c>
      <c r="K455" s="125"/>
      <c r="L455" s="50"/>
      <c r="M455" s="460">
        <v>2998</v>
      </c>
      <c r="N455" s="87">
        <f t="shared" si="173"/>
        <v>3237.84</v>
      </c>
      <c r="O455" s="34">
        <v>70</v>
      </c>
      <c r="P455" s="34">
        <v>16.8</v>
      </c>
      <c r="Q455" s="51">
        <v>43116</v>
      </c>
      <c r="R455" s="36">
        <v>0</v>
      </c>
      <c r="S455" s="103">
        <f t="shared" si="170"/>
        <v>3237.84</v>
      </c>
      <c r="T455" s="38">
        <f t="shared" si="174"/>
        <v>2998</v>
      </c>
      <c r="U455" s="259">
        <v>0</v>
      </c>
      <c r="V455" s="39">
        <v>0.08</v>
      </c>
      <c r="W455" s="40">
        <v>44377</v>
      </c>
      <c r="X455" s="41">
        <f t="shared" si="171"/>
        <v>41</v>
      </c>
      <c r="Y455" s="42">
        <f t="shared" si="172"/>
        <v>3.4166666666666665</v>
      </c>
    </row>
    <row r="456" spans="1:25" s="130" customFormat="1" ht="13.5" thickBot="1" x14ac:dyDescent="0.25">
      <c r="B456" s="339" t="s">
        <v>449</v>
      </c>
      <c r="C456" s="303" t="s">
        <v>342</v>
      </c>
      <c r="D456" s="340" t="s">
        <v>34</v>
      </c>
      <c r="E456" s="166">
        <v>44156</v>
      </c>
      <c r="F456" s="305">
        <v>3237.84</v>
      </c>
      <c r="G456" s="305">
        <v>0</v>
      </c>
      <c r="H456" s="320">
        <v>209</v>
      </c>
      <c r="I456" s="305">
        <f t="shared" si="175"/>
        <v>32378.400000000001</v>
      </c>
      <c r="J456" s="305">
        <f t="shared" si="176"/>
        <v>6660.6994285714291</v>
      </c>
      <c r="K456" s="306"/>
      <c r="L456" s="341"/>
      <c r="M456" s="460">
        <v>2998</v>
      </c>
      <c r="N456" s="87">
        <f>M456*(1+8%)</f>
        <v>3237.84</v>
      </c>
      <c r="O456" s="34">
        <v>70</v>
      </c>
      <c r="P456" s="140">
        <v>14.4</v>
      </c>
      <c r="Q456" s="166">
        <v>44156</v>
      </c>
      <c r="R456" s="141">
        <v>0</v>
      </c>
      <c r="S456" s="103">
        <f t="shared" ref="S456:S476" si="177">M456*(1+V456)</f>
        <v>3237.84</v>
      </c>
      <c r="T456" s="38">
        <f t="shared" si="174"/>
        <v>2998</v>
      </c>
      <c r="U456" s="307"/>
      <c r="V456" s="39">
        <v>0.08</v>
      </c>
      <c r="W456" s="40">
        <v>44377</v>
      </c>
      <c r="X456" s="41">
        <f t="shared" ref="X456:X476" si="178">(YEAR(W456)-YEAR(E456))*12+MONTH(W456)-MONTH(E456)</f>
        <v>7</v>
      </c>
      <c r="Y456" s="42">
        <f t="shared" ref="Y456:Y476" si="179">X456/12</f>
        <v>0.58333333333333337</v>
      </c>
    </row>
    <row r="457" spans="1:25" ht="13.5" thickBot="1" x14ac:dyDescent="0.25">
      <c r="B457" s="254" t="s">
        <v>450</v>
      </c>
      <c r="C457" s="89" t="s">
        <v>342</v>
      </c>
      <c r="D457" s="27" t="s">
        <v>34</v>
      </c>
      <c r="E457" s="46">
        <v>42427</v>
      </c>
      <c r="F457" s="124">
        <v>3238.3725480000007</v>
      </c>
      <c r="G457" s="124">
        <v>0</v>
      </c>
      <c r="H457" s="314">
        <v>209</v>
      </c>
      <c r="I457" s="124">
        <f t="shared" si="175"/>
        <v>32383.725480000005</v>
      </c>
      <c r="J457" s="124">
        <f t="shared" si="176"/>
        <v>8882.3932745142865</v>
      </c>
      <c r="K457" s="125">
        <f>F457/7*12+R457+R457</f>
        <v>6221.815796571429</v>
      </c>
      <c r="L457" s="50"/>
      <c r="M457" s="460">
        <v>2998.4931000000006</v>
      </c>
      <c r="N457" s="87">
        <f t="shared" si="173"/>
        <v>3238.3725480000007</v>
      </c>
      <c r="O457" s="34">
        <v>70</v>
      </c>
      <c r="P457" s="34">
        <v>19.2</v>
      </c>
      <c r="Q457" s="51">
        <v>42427</v>
      </c>
      <c r="R457" s="36">
        <v>335.16</v>
      </c>
      <c r="S457" s="103">
        <f t="shared" si="177"/>
        <v>3238.3725480000007</v>
      </c>
      <c r="T457" s="38">
        <f t="shared" si="174"/>
        <v>2998.4931000000006</v>
      </c>
      <c r="U457" s="259">
        <v>0</v>
      </c>
      <c r="V457" s="39">
        <v>0.08</v>
      </c>
      <c r="W457" s="40">
        <v>44377</v>
      </c>
      <c r="X457" s="41">
        <f t="shared" si="178"/>
        <v>64</v>
      </c>
      <c r="Y457" s="42">
        <f t="shared" si="179"/>
        <v>5.333333333333333</v>
      </c>
    </row>
    <row r="458" spans="1:25" s="130" customFormat="1" ht="13.5" thickBot="1" x14ac:dyDescent="0.25">
      <c r="A458" s="130" t="s">
        <v>90</v>
      </c>
      <c r="B458" s="254" t="s">
        <v>451</v>
      </c>
      <c r="C458" s="303" t="s">
        <v>342</v>
      </c>
      <c r="D458" s="27" t="s">
        <v>34</v>
      </c>
      <c r="E458" s="166">
        <v>43673</v>
      </c>
      <c r="F458" s="305">
        <v>3237.9912000000004</v>
      </c>
      <c r="G458" s="305">
        <v>0</v>
      </c>
      <c r="H458" s="320">
        <v>209</v>
      </c>
      <c r="I458" s="305">
        <v>11340.094285714285</v>
      </c>
      <c r="J458" s="305">
        <v>2737.9542857142856</v>
      </c>
      <c r="K458" s="306"/>
      <c r="L458" s="50"/>
      <c r="M458" s="460">
        <v>2998.1400000000003</v>
      </c>
      <c r="N458" s="87">
        <f t="shared" si="173"/>
        <v>3237.9912000000004</v>
      </c>
      <c r="O458" s="34">
        <v>70</v>
      </c>
      <c r="P458" s="34">
        <v>14.4</v>
      </c>
      <c r="Q458" s="51">
        <v>43673</v>
      </c>
      <c r="R458" s="36">
        <v>0</v>
      </c>
      <c r="S458" s="103">
        <f t="shared" si="177"/>
        <v>3237.9912000000004</v>
      </c>
      <c r="T458" s="38">
        <f t="shared" si="174"/>
        <v>2998.1400000000003</v>
      </c>
      <c r="U458" s="307">
        <v>0</v>
      </c>
      <c r="V458" s="39">
        <v>0.08</v>
      </c>
      <c r="W458" s="40">
        <v>44377</v>
      </c>
      <c r="X458" s="41">
        <f t="shared" si="178"/>
        <v>23</v>
      </c>
      <c r="Y458" s="42">
        <f t="shared" si="179"/>
        <v>1.9166666666666667</v>
      </c>
    </row>
    <row r="459" spans="1:25" ht="13.5" thickBot="1" x14ac:dyDescent="0.25">
      <c r="B459" s="254" t="s">
        <v>452</v>
      </c>
      <c r="C459" s="89" t="s">
        <v>342</v>
      </c>
      <c r="D459" s="27" t="s">
        <v>34</v>
      </c>
      <c r="E459" s="46">
        <v>43367</v>
      </c>
      <c r="F459" s="124">
        <v>3238.3725480000007</v>
      </c>
      <c r="G459" s="124">
        <v>0</v>
      </c>
      <c r="H459" s="314">
        <v>209</v>
      </c>
      <c r="I459" s="124">
        <f t="shared" ref="I459:I476" si="180">F459/7*O459</f>
        <v>32383.725480000005</v>
      </c>
      <c r="J459" s="124">
        <f t="shared" ref="J459:J476" si="181">F459/7*P459</f>
        <v>6661.7949558857154</v>
      </c>
      <c r="K459" s="125"/>
      <c r="L459" s="50"/>
      <c r="M459" s="460">
        <v>2998.4931000000006</v>
      </c>
      <c r="N459" s="87">
        <f t="shared" si="173"/>
        <v>3238.3725480000007</v>
      </c>
      <c r="O459" s="34">
        <v>70</v>
      </c>
      <c r="P459" s="34">
        <v>14.4</v>
      </c>
      <c r="Q459" s="51">
        <v>43367</v>
      </c>
      <c r="R459" s="36">
        <v>0</v>
      </c>
      <c r="S459" s="103">
        <f t="shared" si="177"/>
        <v>3238.3725480000007</v>
      </c>
      <c r="T459" s="38">
        <f t="shared" si="174"/>
        <v>2998.4931000000006</v>
      </c>
      <c r="U459" s="259">
        <v>0</v>
      </c>
      <c r="V459" s="39">
        <v>0.08</v>
      </c>
      <c r="W459" s="40">
        <v>44377</v>
      </c>
      <c r="X459" s="41">
        <f t="shared" si="178"/>
        <v>33</v>
      </c>
      <c r="Y459" s="42">
        <f t="shared" si="179"/>
        <v>2.75</v>
      </c>
    </row>
    <row r="460" spans="1:25" ht="13.5" thickBot="1" x14ac:dyDescent="0.25">
      <c r="B460" s="254" t="s">
        <v>453</v>
      </c>
      <c r="C460" s="89" t="s">
        <v>342</v>
      </c>
      <c r="D460" s="27" t="s">
        <v>34</v>
      </c>
      <c r="E460" s="46">
        <v>42847</v>
      </c>
      <c r="F460" s="124">
        <v>3238.3725480000007</v>
      </c>
      <c r="G460" s="124">
        <v>0</v>
      </c>
      <c r="H460" s="314">
        <v>209</v>
      </c>
      <c r="I460" s="124">
        <f t="shared" si="180"/>
        <v>32383.725480000005</v>
      </c>
      <c r="J460" s="124">
        <f t="shared" si="181"/>
        <v>7772.0941152000014</v>
      </c>
      <c r="K460" s="125"/>
      <c r="L460" s="50"/>
      <c r="M460" s="460">
        <v>2998.4931000000006</v>
      </c>
      <c r="N460" s="87">
        <f t="shared" si="173"/>
        <v>3238.3725480000007</v>
      </c>
      <c r="O460" s="34">
        <v>70</v>
      </c>
      <c r="P460" s="34">
        <v>16.8</v>
      </c>
      <c r="Q460" s="51">
        <v>42847</v>
      </c>
      <c r="R460" s="36">
        <v>0</v>
      </c>
      <c r="S460" s="103">
        <f t="shared" si="177"/>
        <v>3238.3725480000007</v>
      </c>
      <c r="T460" s="38">
        <f t="shared" si="174"/>
        <v>2998.4931000000006</v>
      </c>
      <c r="U460" s="259">
        <v>0</v>
      </c>
      <c r="V460" s="39">
        <v>0.08</v>
      </c>
      <c r="W460" s="40">
        <v>44377</v>
      </c>
      <c r="X460" s="41">
        <f t="shared" si="178"/>
        <v>50</v>
      </c>
      <c r="Y460" s="42">
        <f t="shared" si="179"/>
        <v>4.166666666666667</v>
      </c>
    </row>
    <row r="461" spans="1:25" ht="13.5" thickBot="1" x14ac:dyDescent="0.25">
      <c r="B461" s="254" t="s">
        <v>454</v>
      </c>
      <c r="C461" s="89" t="s">
        <v>342</v>
      </c>
      <c r="D461" s="27" t="s">
        <v>34</v>
      </c>
      <c r="E461" s="46">
        <v>43516</v>
      </c>
      <c r="F461" s="124">
        <v>3237.9912000000004</v>
      </c>
      <c r="G461" s="124">
        <v>0</v>
      </c>
      <c r="H461" s="314">
        <v>209</v>
      </c>
      <c r="I461" s="124">
        <f t="shared" si="180"/>
        <v>32379.912000000004</v>
      </c>
      <c r="J461" s="124">
        <f t="shared" si="181"/>
        <v>6661.0104685714296</v>
      </c>
      <c r="K461" s="125"/>
      <c r="L461" s="50"/>
      <c r="M461" s="460">
        <v>2998.1400000000003</v>
      </c>
      <c r="N461" s="87">
        <f t="shared" si="173"/>
        <v>3237.9912000000004</v>
      </c>
      <c r="O461" s="34">
        <v>70</v>
      </c>
      <c r="P461" s="34">
        <v>14.4</v>
      </c>
      <c r="Q461" s="51">
        <v>43516</v>
      </c>
      <c r="R461" s="36">
        <v>0</v>
      </c>
      <c r="S461" s="103">
        <f t="shared" si="177"/>
        <v>3237.9912000000004</v>
      </c>
      <c r="T461" s="38">
        <f t="shared" si="174"/>
        <v>2998.1400000000003</v>
      </c>
      <c r="U461" s="259">
        <v>0</v>
      </c>
      <c r="V461" s="39">
        <v>0.08</v>
      </c>
      <c r="W461" s="40">
        <v>44377</v>
      </c>
      <c r="X461" s="41">
        <f t="shared" si="178"/>
        <v>28</v>
      </c>
      <c r="Y461" s="42">
        <f t="shared" si="179"/>
        <v>2.3333333333333335</v>
      </c>
    </row>
    <row r="462" spans="1:25" ht="13.5" thickBot="1" x14ac:dyDescent="0.25">
      <c r="B462" s="254" t="s">
        <v>455</v>
      </c>
      <c r="C462" s="89" t="s">
        <v>342</v>
      </c>
      <c r="D462" s="27" t="s">
        <v>34</v>
      </c>
      <c r="E462" s="46">
        <v>43395</v>
      </c>
      <c r="F462" s="301">
        <v>3795.1200000000003</v>
      </c>
      <c r="G462" s="124">
        <v>0</v>
      </c>
      <c r="H462" s="314">
        <v>209</v>
      </c>
      <c r="I462" s="124">
        <f t="shared" si="180"/>
        <v>37951.200000000004</v>
      </c>
      <c r="J462" s="124">
        <f t="shared" si="181"/>
        <v>7807.1040000000012</v>
      </c>
      <c r="K462" s="125"/>
      <c r="L462" s="50"/>
      <c r="M462" s="460">
        <v>3514</v>
      </c>
      <c r="N462" s="87">
        <f t="shared" si="173"/>
        <v>3795.1200000000003</v>
      </c>
      <c r="O462" s="34">
        <v>70</v>
      </c>
      <c r="P462" s="34">
        <v>14.4</v>
      </c>
      <c r="Q462" s="51">
        <v>43395</v>
      </c>
      <c r="R462" s="36">
        <v>0</v>
      </c>
      <c r="S462" s="103">
        <f t="shared" si="177"/>
        <v>3795.1200000000003</v>
      </c>
      <c r="T462" s="38">
        <f t="shared" si="174"/>
        <v>3514</v>
      </c>
      <c r="U462" s="259">
        <v>0</v>
      </c>
      <c r="V462" s="39">
        <v>0.08</v>
      </c>
      <c r="W462" s="40">
        <v>44377</v>
      </c>
      <c r="X462" s="41">
        <f t="shared" si="178"/>
        <v>32</v>
      </c>
      <c r="Y462" s="42">
        <f t="shared" si="179"/>
        <v>2.6666666666666665</v>
      </c>
    </row>
    <row r="463" spans="1:25" ht="13.5" thickBot="1" x14ac:dyDescent="0.25">
      <c r="B463" s="254" t="s">
        <v>456</v>
      </c>
      <c r="C463" s="89" t="s">
        <v>342</v>
      </c>
      <c r="D463" s="27" t="s">
        <v>34</v>
      </c>
      <c r="E463" s="46">
        <v>43640</v>
      </c>
      <c r="F463" s="301">
        <v>3237.84</v>
      </c>
      <c r="G463" s="124">
        <v>0</v>
      </c>
      <c r="H463" s="342">
        <v>209</v>
      </c>
      <c r="I463" s="124">
        <f t="shared" si="180"/>
        <v>32378.400000000001</v>
      </c>
      <c r="J463" s="124">
        <f t="shared" si="181"/>
        <v>6660.6994285714291</v>
      </c>
      <c r="K463" s="125"/>
      <c r="L463" s="50"/>
      <c r="M463" s="460">
        <v>2998</v>
      </c>
      <c r="N463" s="87">
        <f t="shared" si="173"/>
        <v>3237.84</v>
      </c>
      <c r="O463" s="34">
        <v>70</v>
      </c>
      <c r="P463" s="34">
        <v>14.4</v>
      </c>
      <c r="Q463" s="51">
        <v>43640</v>
      </c>
      <c r="R463" s="36">
        <v>0</v>
      </c>
      <c r="S463" s="103">
        <f t="shared" si="177"/>
        <v>3237.84</v>
      </c>
      <c r="T463" s="38">
        <f t="shared" si="174"/>
        <v>2998</v>
      </c>
      <c r="U463" s="259">
        <v>0</v>
      </c>
      <c r="V463" s="39">
        <v>0.08</v>
      </c>
      <c r="W463" s="40">
        <v>44377</v>
      </c>
      <c r="X463" s="41">
        <f t="shared" si="178"/>
        <v>24</v>
      </c>
      <c r="Y463" s="42">
        <f t="shared" si="179"/>
        <v>2</v>
      </c>
    </row>
    <row r="464" spans="1:25" ht="13.5" thickBot="1" x14ac:dyDescent="0.25">
      <c r="B464" s="254" t="s">
        <v>457</v>
      </c>
      <c r="C464" s="89" t="s">
        <v>342</v>
      </c>
      <c r="D464" s="27" t="s">
        <v>34</v>
      </c>
      <c r="E464" s="46">
        <v>43150</v>
      </c>
      <c r="F464" s="124">
        <v>3238.3725480000007</v>
      </c>
      <c r="G464" s="124">
        <v>0</v>
      </c>
      <c r="H464" s="314">
        <v>209</v>
      </c>
      <c r="I464" s="124">
        <f t="shared" si="180"/>
        <v>32383.725480000005</v>
      </c>
      <c r="J464" s="124">
        <f t="shared" si="181"/>
        <v>7772.0941152000014</v>
      </c>
      <c r="K464" s="125"/>
      <c r="L464" s="50"/>
      <c r="M464" s="460">
        <v>2998.4931000000006</v>
      </c>
      <c r="N464" s="87">
        <f t="shared" si="173"/>
        <v>3238.3725480000007</v>
      </c>
      <c r="O464" s="34">
        <v>70</v>
      </c>
      <c r="P464" s="34">
        <v>16.8</v>
      </c>
      <c r="Q464" s="51">
        <v>43150</v>
      </c>
      <c r="R464" s="36">
        <v>0</v>
      </c>
      <c r="S464" s="103">
        <f t="shared" si="177"/>
        <v>3238.3725480000007</v>
      </c>
      <c r="T464" s="38">
        <f t="shared" si="174"/>
        <v>2998.4931000000006</v>
      </c>
      <c r="U464" s="259">
        <v>0</v>
      </c>
      <c r="V464" s="39">
        <v>0.08</v>
      </c>
      <c r="W464" s="40">
        <v>44377</v>
      </c>
      <c r="X464" s="41">
        <f t="shared" si="178"/>
        <v>40</v>
      </c>
      <c r="Y464" s="42">
        <f t="shared" si="179"/>
        <v>3.3333333333333335</v>
      </c>
    </row>
    <row r="465" spans="1:25" s="149" customFormat="1" ht="13.5" thickBot="1" x14ac:dyDescent="0.25">
      <c r="A465" s="149" t="s">
        <v>90</v>
      </c>
      <c r="B465" s="343" t="s">
        <v>458</v>
      </c>
      <c r="C465" s="151" t="s">
        <v>342</v>
      </c>
      <c r="D465" s="344" t="s">
        <v>34</v>
      </c>
      <c r="E465" s="345">
        <v>44013</v>
      </c>
      <c r="F465" s="220">
        <v>3238.3725480000007</v>
      </c>
      <c r="G465" s="220">
        <v>0</v>
      </c>
      <c r="H465" s="346">
        <v>209</v>
      </c>
      <c r="I465" s="220">
        <f t="shared" si="180"/>
        <v>32383.725480000005</v>
      </c>
      <c r="J465" s="220">
        <f t="shared" si="181"/>
        <v>6661.7949558857154</v>
      </c>
      <c r="K465" s="221"/>
      <c r="L465" s="222"/>
      <c r="M465" s="460">
        <v>2998.4931000000006</v>
      </c>
      <c r="N465" s="87">
        <f t="shared" si="173"/>
        <v>3238.3725480000007</v>
      </c>
      <c r="O465" s="34">
        <v>70</v>
      </c>
      <c r="P465" s="34">
        <v>14.4</v>
      </c>
      <c r="Q465" s="51">
        <v>44013</v>
      </c>
      <c r="R465" s="36">
        <v>0</v>
      </c>
      <c r="S465" s="103">
        <f t="shared" si="177"/>
        <v>3238.3725480000007</v>
      </c>
      <c r="T465" s="38">
        <f t="shared" si="174"/>
        <v>2998.4931000000006</v>
      </c>
      <c r="U465" s="347">
        <v>0</v>
      </c>
      <c r="V465" s="39">
        <v>0.08</v>
      </c>
      <c r="W465" s="40">
        <v>44377</v>
      </c>
      <c r="X465" s="41">
        <f t="shared" si="178"/>
        <v>11</v>
      </c>
      <c r="Y465" s="42">
        <f t="shared" si="179"/>
        <v>0.91666666666666663</v>
      </c>
    </row>
    <row r="466" spans="1:25" ht="13.5" thickBot="1" x14ac:dyDescent="0.25">
      <c r="B466" s="254" t="s">
        <v>459</v>
      </c>
      <c r="C466" s="89" t="s">
        <v>345</v>
      </c>
      <c r="D466" s="27" t="s">
        <v>34</v>
      </c>
      <c r="E466" s="46">
        <v>43836</v>
      </c>
      <c r="F466" s="124">
        <v>4052.1600000000003</v>
      </c>
      <c r="G466" s="47">
        <v>0</v>
      </c>
      <c r="H466" s="48">
        <v>209</v>
      </c>
      <c r="I466" s="47">
        <f t="shared" si="180"/>
        <v>40521.599999999999</v>
      </c>
      <c r="J466" s="47">
        <f t="shared" si="181"/>
        <v>8335.8719999999994</v>
      </c>
      <c r="K466" s="49"/>
      <c r="L466" s="50"/>
      <c r="M466" s="460">
        <v>3752</v>
      </c>
      <c r="N466" s="87">
        <f t="shared" si="173"/>
        <v>4052.1600000000003</v>
      </c>
      <c r="O466" s="34">
        <v>70</v>
      </c>
      <c r="P466" s="34">
        <v>14.4</v>
      </c>
      <c r="Q466" s="51">
        <v>43836</v>
      </c>
      <c r="R466" s="36">
        <v>0</v>
      </c>
      <c r="S466" s="103">
        <f t="shared" si="177"/>
        <v>4052.1600000000003</v>
      </c>
      <c r="T466" s="38">
        <f t="shared" si="174"/>
        <v>3752</v>
      </c>
      <c r="U466" s="259">
        <v>0</v>
      </c>
      <c r="V466" s="39">
        <v>0.08</v>
      </c>
      <c r="W466" s="40">
        <v>44377</v>
      </c>
      <c r="X466" s="41">
        <f t="shared" si="178"/>
        <v>17</v>
      </c>
      <c r="Y466" s="42">
        <f t="shared" si="179"/>
        <v>1.4166666666666667</v>
      </c>
    </row>
    <row r="467" spans="1:25" s="130" customFormat="1" ht="13.5" thickBot="1" x14ac:dyDescent="0.25">
      <c r="B467" s="339" t="s">
        <v>460</v>
      </c>
      <c r="C467" s="303" t="s">
        <v>342</v>
      </c>
      <c r="D467" s="340" t="s">
        <v>34</v>
      </c>
      <c r="E467" s="166">
        <v>44162</v>
      </c>
      <c r="F467" s="305">
        <v>3237.84</v>
      </c>
      <c r="G467" s="147">
        <v>0</v>
      </c>
      <c r="H467" s="167">
        <v>209</v>
      </c>
      <c r="I467" s="147">
        <v>36984</v>
      </c>
      <c r="J467" s="147">
        <v>9004.8000000000011</v>
      </c>
      <c r="K467" s="148"/>
      <c r="L467" s="341"/>
      <c r="M467" s="460">
        <v>2998</v>
      </c>
      <c r="N467" s="87">
        <f t="shared" si="173"/>
        <v>3237.84</v>
      </c>
      <c r="O467" s="34">
        <v>70</v>
      </c>
      <c r="P467" s="140">
        <v>14.4</v>
      </c>
      <c r="Q467" s="166">
        <v>44162</v>
      </c>
      <c r="R467" s="141">
        <v>0</v>
      </c>
      <c r="S467" s="103">
        <f t="shared" si="177"/>
        <v>3237.84</v>
      </c>
      <c r="T467" s="38">
        <f t="shared" si="174"/>
        <v>2998</v>
      </c>
      <c r="U467" s="307"/>
      <c r="V467" s="39">
        <v>0.08</v>
      </c>
      <c r="W467" s="40">
        <v>44377</v>
      </c>
      <c r="X467" s="41">
        <f t="shared" si="178"/>
        <v>7</v>
      </c>
      <c r="Y467" s="42">
        <f t="shared" si="179"/>
        <v>0.58333333333333337</v>
      </c>
    </row>
    <row r="468" spans="1:25" ht="13.5" thickBot="1" x14ac:dyDescent="0.25">
      <c r="B468" s="254" t="s">
        <v>461</v>
      </c>
      <c r="C468" s="89" t="s">
        <v>342</v>
      </c>
      <c r="D468" s="27" t="s">
        <v>34</v>
      </c>
      <c r="E468" s="46">
        <v>42728</v>
      </c>
      <c r="F468" s="47">
        <v>3238.3725480000007</v>
      </c>
      <c r="G468" s="47">
        <v>0</v>
      </c>
      <c r="H468" s="48">
        <v>209</v>
      </c>
      <c r="I468" s="47">
        <f t="shared" si="180"/>
        <v>32383.725480000005</v>
      </c>
      <c r="J468" s="47">
        <f t="shared" si="181"/>
        <v>7772.0941152000014</v>
      </c>
      <c r="K468" s="49"/>
      <c r="L468" s="50"/>
      <c r="M468" s="460">
        <v>2998.4931000000006</v>
      </c>
      <c r="N468" s="87">
        <f t="shared" si="173"/>
        <v>3238.3725480000007</v>
      </c>
      <c r="O468" s="34">
        <v>70</v>
      </c>
      <c r="P468" s="34">
        <v>16.8</v>
      </c>
      <c r="Q468" s="51">
        <v>42728</v>
      </c>
      <c r="R468" s="36">
        <v>0</v>
      </c>
      <c r="S468" s="103">
        <f t="shared" si="177"/>
        <v>3238.3725480000007</v>
      </c>
      <c r="T468" s="38">
        <f t="shared" si="174"/>
        <v>2998.4931000000006</v>
      </c>
      <c r="U468" s="259">
        <v>0</v>
      </c>
      <c r="V468" s="39">
        <v>0.08</v>
      </c>
      <c r="W468" s="40">
        <v>44377</v>
      </c>
      <c r="X468" s="41">
        <f t="shared" si="178"/>
        <v>54</v>
      </c>
      <c r="Y468" s="42">
        <f t="shared" si="179"/>
        <v>4.5</v>
      </c>
    </row>
    <row r="469" spans="1:25" ht="13.5" thickBot="1" x14ac:dyDescent="0.25">
      <c r="B469" s="254" t="s">
        <v>462</v>
      </c>
      <c r="C469" s="89" t="s">
        <v>342</v>
      </c>
      <c r="D469" s="27" t="s">
        <v>34</v>
      </c>
      <c r="E469" s="46">
        <v>42925</v>
      </c>
      <c r="F469" s="124">
        <v>3238.3725480000007</v>
      </c>
      <c r="G469" s="124">
        <v>0</v>
      </c>
      <c r="H469" s="314">
        <v>209</v>
      </c>
      <c r="I469" s="124">
        <f t="shared" si="180"/>
        <v>32383.725480000005</v>
      </c>
      <c r="J469" s="124">
        <f t="shared" si="181"/>
        <v>6661.7949558857154</v>
      </c>
      <c r="K469" s="125"/>
      <c r="L469" s="50"/>
      <c r="M469" s="460">
        <v>2998.4931000000006</v>
      </c>
      <c r="N469" s="87">
        <f t="shared" si="173"/>
        <v>3238.3725480000007</v>
      </c>
      <c r="O469" s="34">
        <v>70</v>
      </c>
      <c r="P469" s="34">
        <v>14.4</v>
      </c>
      <c r="Q469" s="51">
        <v>42925</v>
      </c>
      <c r="R469" s="36">
        <v>0</v>
      </c>
      <c r="S469" s="103">
        <f t="shared" si="177"/>
        <v>3238.3725480000007</v>
      </c>
      <c r="T469" s="38">
        <f t="shared" si="174"/>
        <v>2998.4931000000006</v>
      </c>
      <c r="U469" s="259">
        <v>0</v>
      </c>
      <c r="V469" s="39">
        <v>0.08</v>
      </c>
      <c r="W469" s="40">
        <v>44377</v>
      </c>
      <c r="X469" s="41">
        <f t="shared" si="178"/>
        <v>47</v>
      </c>
      <c r="Y469" s="42">
        <f t="shared" si="179"/>
        <v>3.9166666666666665</v>
      </c>
    </row>
    <row r="470" spans="1:25" ht="13.5" thickBot="1" x14ac:dyDescent="0.25">
      <c r="B470" s="254" t="s">
        <v>463</v>
      </c>
      <c r="C470" s="89" t="s">
        <v>367</v>
      </c>
      <c r="D470" s="27" t="s">
        <v>34</v>
      </c>
      <c r="E470" s="46">
        <v>42582</v>
      </c>
      <c r="F470" s="124">
        <v>4176.8699760000009</v>
      </c>
      <c r="G470" s="124">
        <v>0</v>
      </c>
      <c r="H470" s="314">
        <v>209</v>
      </c>
      <c r="I470" s="124">
        <f t="shared" si="180"/>
        <v>41768.69976000001</v>
      </c>
      <c r="J470" s="124">
        <f t="shared" si="181"/>
        <v>10024.487942400003</v>
      </c>
      <c r="K470" s="125"/>
      <c r="L470" s="50"/>
      <c r="M470" s="460">
        <v>3867.4722000000002</v>
      </c>
      <c r="N470" s="87">
        <f t="shared" si="173"/>
        <v>4176.8699760000009</v>
      </c>
      <c r="O470" s="34">
        <v>70</v>
      </c>
      <c r="P470" s="34">
        <v>16.8</v>
      </c>
      <c r="Q470" s="51">
        <v>42582</v>
      </c>
      <c r="R470" s="36">
        <v>0</v>
      </c>
      <c r="S470" s="103">
        <f t="shared" si="177"/>
        <v>4176.8699760000009</v>
      </c>
      <c r="T470" s="38">
        <f t="shared" si="174"/>
        <v>3867.4722000000006</v>
      </c>
      <c r="U470" s="259">
        <v>0</v>
      </c>
      <c r="V470" s="39">
        <v>0.08</v>
      </c>
      <c r="W470" s="40">
        <v>44377</v>
      </c>
      <c r="X470" s="41">
        <f t="shared" si="178"/>
        <v>59</v>
      </c>
      <c r="Y470" s="42">
        <f t="shared" si="179"/>
        <v>4.916666666666667</v>
      </c>
    </row>
    <row r="471" spans="1:25" ht="13.5" thickBot="1" x14ac:dyDescent="0.25">
      <c r="B471" s="254" t="s">
        <v>464</v>
      </c>
      <c r="C471" s="89" t="s">
        <v>342</v>
      </c>
      <c r="D471" s="27" t="s">
        <v>34</v>
      </c>
      <c r="E471" s="46">
        <v>43355</v>
      </c>
      <c r="F471" s="301">
        <v>3795.1200000000003</v>
      </c>
      <c r="G471" s="124">
        <v>0</v>
      </c>
      <c r="H471" s="314">
        <v>209</v>
      </c>
      <c r="I471" s="124">
        <f t="shared" si="180"/>
        <v>37951.200000000004</v>
      </c>
      <c r="J471" s="124">
        <f t="shared" si="181"/>
        <v>7807.1040000000012</v>
      </c>
      <c r="K471" s="125"/>
      <c r="L471" s="50"/>
      <c r="M471" s="460">
        <v>3514</v>
      </c>
      <c r="N471" s="87">
        <f t="shared" si="173"/>
        <v>3795.1200000000003</v>
      </c>
      <c r="O471" s="34">
        <v>70</v>
      </c>
      <c r="P471" s="34">
        <v>14.4</v>
      </c>
      <c r="Q471" s="51">
        <v>43355</v>
      </c>
      <c r="R471" s="36">
        <v>0</v>
      </c>
      <c r="S471" s="103">
        <f t="shared" si="177"/>
        <v>3795.1200000000003</v>
      </c>
      <c r="T471" s="38">
        <f t="shared" si="174"/>
        <v>3514</v>
      </c>
      <c r="U471" s="259">
        <v>0</v>
      </c>
      <c r="V471" s="39">
        <v>0.08</v>
      </c>
      <c r="W471" s="40">
        <v>44377</v>
      </c>
      <c r="X471" s="41">
        <f t="shared" si="178"/>
        <v>33</v>
      </c>
      <c r="Y471" s="42">
        <f t="shared" si="179"/>
        <v>2.75</v>
      </c>
    </row>
    <row r="472" spans="1:25" ht="13.5" thickBot="1" x14ac:dyDescent="0.25">
      <c r="A472" s="130" t="s">
        <v>90</v>
      </c>
      <c r="B472" s="254" t="s">
        <v>465</v>
      </c>
      <c r="C472" s="303" t="s">
        <v>342</v>
      </c>
      <c r="D472" s="27" t="s">
        <v>34</v>
      </c>
      <c r="E472" s="166">
        <v>43760</v>
      </c>
      <c r="F472" s="301">
        <v>3795.1200000000003</v>
      </c>
      <c r="G472" s="305">
        <v>0</v>
      </c>
      <c r="H472" s="320">
        <v>209</v>
      </c>
      <c r="I472" s="305">
        <f t="shared" si="180"/>
        <v>37951.200000000004</v>
      </c>
      <c r="J472" s="305">
        <f t="shared" si="181"/>
        <v>7807.1040000000012</v>
      </c>
      <c r="K472" s="306"/>
      <c r="L472" s="50"/>
      <c r="M472" s="460">
        <v>3514</v>
      </c>
      <c r="N472" s="87">
        <f t="shared" si="173"/>
        <v>3795.1200000000003</v>
      </c>
      <c r="O472" s="34">
        <v>70</v>
      </c>
      <c r="P472" s="34">
        <v>14.4</v>
      </c>
      <c r="Q472" s="51">
        <v>43355</v>
      </c>
      <c r="R472" s="36">
        <v>0</v>
      </c>
      <c r="S472" s="103">
        <f t="shared" si="177"/>
        <v>3795.1200000000003</v>
      </c>
      <c r="T472" s="38">
        <f t="shared" si="174"/>
        <v>3514</v>
      </c>
      <c r="U472" s="307">
        <v>0</v>
      </c>
      <c r="V472" s="39">
        <v>0.08</v>
      </c>
      <c r="W472" s="40">
        <v>44377</v>
      </c>
      <c r="X472" s="41">
        <f t="shared" si="178"/>
        <v>20</v>
      </c>
      <c r="Y472" s="42">
        <f t="shared" si="179"/>
        <v>1.6666666666666667</v>
      </c>
    </row>
    <row r="473" spans="1:25" ht="13.5" thickBot="1" x14ac:dyDescent="0.25">
      <c r="B473" s="254" t="s">
        <v>466</v>
      </c>
      <c r="C473" s="89" t="s">
        <v>342</v>
      </c>
      <c r="D473" s="27" t="s">
        <v>34</v>
      </c>
      <c r="E473" s="46">
        <v>43405</v>
      </c>
      <c r="F473" s="47">
        <v>3238.3725480000007</v>
      </c>
      <c r="G473" s="47">
        <v>0</v>
      </c>
      <c r="H473" s="48">
        <v>209</v>
      </c>
      <c r="I473" s="47">
        <f t="shared" si="180"/>
        <v>32383.725480000005</v>
      </c>
      <c r="J473" s="47">
        <f t="shared" si="181"/>
        <v>6661.7949558857154</v>
      </c>
      <c r="K473" s="49"/>
      <c r="L473" s="50"/>
      <c r="M473" s="460">
        <v>2998.4931000000006</v>
      </c>
      <c r="N473" s="87">
        <f t="shared" si="173"/>
        <v>3238.3725480000007</v>
      </c>
      <c r="O473" s="34">
        <v>70</v>
      </c>
      <c r="P473" s="34">
        <v>14.4</v>
      </c>
      <c r="Q473" s="51">
        <v>43405</v>
      </c>
      <c r="R473" s="36">
        <v>0</v>
      </c>
      <c r="S473" s="103">
        <f t="shared" si="177"/>
        <v>3238.3725480000007</v>
      </c>
      <c r="T473" s="38">
        <f t="shared" si="174"/>
        <v>2998.4931000000006</v>
      </c>
      <c r="U473" s="259">
        <v>0</v>
      </c>
      <c r="V473" s="39">
        <v>0.08</v>
      </c>
      <c r="W473" s="40">
        <v>44377</v>
      </c>
      <c r="X473" s="41">
        <f t="shared" si="178"/>
        <v>31</v>
      </c>
      <c r="Y473" s="42">
        <f t="shared" si="179"/>
        <v>2.5833333333333335</v>
      </c>
    </row>
    <row r="474" spans="1:25" ht="13.5" thickBot="1" x14ac:dyDescent="0.25">
      <c r="B474" s="254" t="s">
        <v>467</v>
      </c>
      <c r="C474" s="89" t="s">
        <v>345</v>
      </c>
      <c r="D474" s="27" t="s">
        <v>34</v>
      </c>
      <c r="E474" s="46">
        <v>42894</v>
      </c>
      <c r="F474" s="47">
        <v>4052.1600000000003</v>
      </c>
      <c r="G474" s="47">
        <v>0</v>
      </c>
      <c r="H474" s="48">
        <v>209</v>
      </c>
      <c r="I474" s="47">
        <f t="shared" si="180"/>
        <v>40521.599999999999</v>
      </c>
      <c r="J474" s="47">
        <f t="shared" si="181"/>
        <v>9725.1840000000011</v>
      </c>
      <c r="K474" s="49"/>
      <c r="L474" s="50"/>
      <c r="M474" s="460">
        <v>3752</v>
      </c>
      <c r="N474" s="87">
        <f t="shared" si="173"/>
        <v>4052.1600000000003</v>
      </c>
      <c r="O474" s="34">
        <v>70</v>
      </c>
      <c r="P474" s="34">
        <v>16.8</v>
      </c>
      <c r="Q474" s="51">
        <v>42894</v>
      </c>
      <c r="R474" s="36">
        <v>0</v>
      </c>
      <c r="S474" s="103">
        <f t="shared" si="177"/>
        <v>4052.1600000000003</v>
      </c>
      <c r="T474" s="38">
        <f t="shared" si="174"/>
        <v>3752</v>
      </c>
      <c r="U474" s="259">
        <v>0</v>
      </c>
      <c r="V474" s="39">
        <v>0.08</v>
      </c>
      <c r="W474" s="40">
        <v>44377</v>
      </c>
      <c r="X474" s="41">
        <f t="shared" si="178"/>
        <v>48</v>
      </c>
      <c r="Y474" s="42">
        <f t="shared" si="179"/>
        <v>4</v>
      </c>
    </row>
    <row r="475" spans="1:25" ht="13.5" thickBot="1" x14ac:dyDescent="0.25">
      <c r="B475" s="348" t="s">
        <v>468</v>
      </c>
      <c r="C475" s="349" t="s">
        <v>342</v>
      </c>
      <c r="D475" s="27" t="s">
        <v>34</v>
      </c>
      <c r="E475" s="308">
        <v>43880</v>
      </c>
      <c r="F475" s="289">
        <v>3237.84</v>
      </c>
      <c r="G475" s="47">
        <v>0</v>
      </c>
      <c r="H475" s="48">
        <v>209</v>
      </c>
      <c r="I475" s="47">
        <f t="shared" si="180"/>
        <v>32378.400000000001</v>
      </c>
      <c r="J475" s="47">
        <f t="shared" si="181"/>
        <v>6660.6994285714291</v>
      </c>
      <c r="K475" s="49"/>
      <c r="L475" s="50"/>
      <c r="M475" s="460">
        <v>2998</v>
      </c>
      <c r="N475" s="87">
        <f t="shared" si="173"/>
        <v>3237.84</v>
      </c>
      <c r="O475" s="34">
        <v>70</v>
      </c>
      <c r="P475" s="34">
        <v>14.4</v>
      </c>
      <c r="Q475" s="51">
        <v>43880</v>
      </c>
      <c r="R475" s="36">
        <v>0</v>
      </c>
      <c r="S475" s="103">
        <f t="shared" si="177"/>
        <v>3237.84</v>
      </c>
      <c r="T475" s="38">
        <f t="shared" si="174"/>
        <v>2998</v>
      </c>
      <c r="U475" s="259">
        <v>0</v>
      </c>
      <c r="V475" s="39">
        <v>0.08</v>
      </c>
      <c r="W475" s="40">
        <v>44377</v>
      </c>
      <c r="X475" s="41">
        <f t="shared" si="178"/>
        <v>16</v>
      </c>
      <c r="Y475" s="42">
        <f t="shared" si="179"/>
        <v>1.3333333333333333</v>
      </c>
    </row>
    <row r="476" spans="1:25" ht="13.5" thickBot="1" x14ac:dyDescent="0.25">
      <c r="B476" s="350" t="s">
        <v>469</v>
      </c>
      <c r="C476" s="93" t="s">
        <v>342</v>
      </c>
      <c r="D476" s="27" t="s">
        <v>34</v>
      </c>
      <c r="E476" s="184">
        <v>43109</v>
      </c>
      <c r="F476" s="57">
        <v>3238.3725480000007</v>
      </c>
      <c r="G476" s="57">
        <v>0</v>
      </c>
      <c r="H476" s="96">
        <v>209</v>
      </c>
      <c r="I476" s="57">
        <f t="shared" si="180"/>
        <v>32383.725480000005</v>
      </c>
      <c r="J476" s="57">
        <f t="shared" si="181"/>
        <v>7772.0941152000014</v>
      </c>
      <c r="K476" s="58"/>
      <c r="L476" s="50"/>
      <c r="M476" s="460">
        <v>2998.4931000000006</v>
      </c>
      <c r="N476" s="87">
        <f t="shared" si="173"/>
        <v>3238.3725480000007</v>
      </c>
      <c r="O476" s="34">
        <v>70</v>
      </c>
      <c r="P476" s="34">
        <v>16.8</v>
      </c>
      <c r="Q476" s="51">
        <v>43109</v>
      </c>
      <c r="R476" s="36">
        <v>0</v>
      </c>
      <c r="S476" s="103">
        <f t="shared" si="177"/>
        <v>3238.3725480000007</v>
      </c>
      <c r="T476" s="38">
        <f t="shared" si="174"/>
        <v>2998.4931000000006</v>
      </c>
      <c r="U476" s="259">
        <v>0</v>
      </c>
      <c r="V476" s="39">
        <v>0.08</v>
      </c>
      <c r="W476" s="40">
        <v>44377</v>
      </c>
      <c r="X476" s="41">
        <f t="shared" si="178"/>
        <v>41</v>
      </c>
      <c r="Y476" s="42">
        <f t="shared" si="179"/>
        <v>3.4166666666666665</v>
      </c>
    </row>
    <row r="477" spans="1:25" ht="13.5" thickBot="1" x14ac:dyDescent="0.25">
      <c r="B477" s="227"/>
      <c r="C477" s="110"/>
      <c r="D477" s="111"/>
      <c r="E477" s="206"/>
      <c r="F477" s="228"/>
      <c r="G477" s="228"/>
      <c r="H477" s="230"/>
      <c r="I477" s="228"/>
      <c r="J477" s="228"/>
      <c r="K477" s="114"/>
      <c r="L477" s="50"/>
      <c r="M477" s="84"/>
      <c r="N477" s="64"/>
      <c r="O477" s="8"/>
      <c r="P477" s="111"/>
      <c r="Q477" s="111"/>
      <c r="R477" s="351"/>
      <c r="S477" s="352"/>
      <c r="T477" s="352"/>
      <c r="U477" s="111"/>
      <c r="V477" s="66"/>
      <c r="W477" s="67"/>
      <c r="X477" s="68"/>
    </row>
    <row r="478" spans="1:25" ht="13.5" thickBot="1" x14ac:dyDescent="0.25">
      <c r="B478" s="69" t="s">
        <v>39</v>
      </c>
      <c r="C478" s="69" t="s">
        <v>40</v>
      </c>
      <c r="D478" s="70"/>
      <c r="E478" s="353" t="s">
        <v>370</v>
      </c>
      <c r="F478" s="354">
        <f t="shared" ref="F478:K478" si="182">SUM(F434:F476)</f>
        <v>152557.75299600002</v>
      </c>
      <c r="G478" s="354">
        <f t="shared" si="182"/>
        <v>0</v>
      </c>
      <c r="H478" s="354">
        <f t="shared" si="182"/>
        <v>9874</v>
      </c>
      <c r="I478" s="354">
        <f t="shared" si="182"/>
        <v>1457993.2025314288</v>
      </c>
      <c r="J478" s="354">
        <f t="shared" si="182"/>
        <v>324999.76177097141</v>
      </c>
      <c r="K478" s="354">
        <f t="shared" si="182"/>
        <v>6221.815796571429</v>
      </c>
      <c r="L478" s="73"/>
      <c r="N478" s="64"/>
      <c r="Q478" s="6"/>
      <c r="R478" s="355"/>
      <c r="S478" s="84"/>
      <c r="V478" s="66"/>
      <c r="W478" s="67"/>
      <c r="X478" s="68"/>
    </row>
    <row r="479" spans="1:25" ht="19.5" customHeight="1" thickBot="1" x14ac:dyDescent="0.25">
      <c r="B479" s="69" t="s">
        <v>43</v>
      </c>
      <c r="C479" s="69" t="s">
        <v>44</v>
      </c>
      <c r="E479" s="240" t="s">
        <v>46</v>
      </c>
      <c r="F479" s="356">
        <f>F478/7*365</f>
        <v>7954797.1205057157</v>
      </c>
      <c r="G479" s="356">
        <f>G478*6</f>
        <v>0</v>
      </c>
      <c r="H479" s="356">
        <f>H478/7*52</f>
        <v>73349.71428571429</v>
      </c>
      <c r="I479" s="356">
        <f>I478</f>
        <v>1457993.2025314288</v>
      </c>
      <c r="J479" s="356">
        <f>J478</f>
        <v>324999.76177097141</v>
      </c>
      <c r="K479" s="356">
        <f>K478</f>
        <v>6221.815796571429</v>
      </c>
      <c r="L479" s="73"/>
      <c r="M479" s="38">
        <f>SUM(F479:K479)</f>
        <v>9817361.6148904003</v>
      </c>
      <c r="N479" s="87"/>
      <c r="O479" s="34"/>
      <c r="P479" s="34"/>
      <c r="Q479" s="34"/>
      <c r="R479" s="357">
        <f>SUM(R434:R476)</f>
        <v>335.16</v>
      </c>
      <c r="S479" s="103">
        <f>M479*(1+V479)</f>
        <v>10602750.544081634</v>
      </c>
      <c r="T479" s="38"/>
      <c r="U479" s="259">
        <f>SUM(U434:U478)</f>
        <v>0</v>
      </c>
      <c r="V479" s="39">
        <v>0.08</v>
      </c>
      <c r="W479" s="34"/>
      <c r="X479" s="41"/>
      <c r="Y479" s="42"/>
    </row>
    <row r="480" spans="1:25" x14ac:dyDescent="0.2">
      <c r="B480" s="69"/>
      <c r="C480" s="69"/>
      <c r="N480" s="64"/>
      <c r="Q480" s="6"/>
      <c r="R480" s="355"/>
      <c r="S480" s="84"/>
      <c r="X480" s="68"/>
    </row>
    <row r="481" spans="2:25" ht="15" x14ac:dyDescent="0.25">
      <c r="B481" s="13"/>
      <c r="C481" s="13"/>
      <c r="D481" s="13" t="s">
        <v>639</v>
      </c>
      <c r="E481" s="13"/>
      <c r="F481" s="13"/>
      <c r="G481" s="13"/>
      <c r="H481" s="13"/>
      <c r="I481" s="14"/>
      <c r="J481" s="13"/>
      <c r="K481" s="13"/>
      <c r="L481" s="15"/>
      <c r="N481" s="64"/>
      <c r="Q481" s="6"/>
      <c r="R481" s="355"/>
      <c r="S481" s="84"/>
      <c r="X481" s="68"/>
    </row>
    <row r="482" spans="2:25" ht="15" x14ac:dyDescent="0.25">
      <c r="B482" s="16" t="s">
        <v>4</v>
      </c>
      <c r="C482" s="16"/>
      <c r="D482" s="13" t="s">
        <v>339</v>
      </c>
      <c r="E482" s="13"/>
      <c r="F482" s="14"/>
      <c r="G482" s="14"/>
      <c r="H482" s="476"/>
      <c r="I482" s="476"/>
      <c r="J482" s="14"/>
      <c r="K482" s="17"/>
      <c r="L482" s="18"/>
      <c r="N482" s="64"/>
      <c r="Q482" s="6"/>
      <c r="R482" s="355"/>
      <c r="S482" s="84"/>
      <c r="X482" s="68"/>
    </row>
    <row r="483" spans="2:25" ht="15.75" thickBot="1" x14ac:dyDescent="0.3">
      <c r="B483" s="18"/>
      <c r="C483" s="18"/>
      <c r="D483" s="245"/>
      <c r="E483" s="245"/>
      <c r="F483" s="15"/>
      <c r="G483" s="15"/>
      <c r="H483" s="15"/>
      <c r="I483" s="15"/>
      <c r="J483" s="15"/>
      <c r="K483" s="116"/>
      <c r="L483" s="18"/>
      <c r="N483" s="64"/>
      <c r="Q483" s="6"/>
      <c r="R483" s="355"/>
      <c r="S483" s="84"/>
      <c r="T483" s="84"/>
      <c r="X483" s="68"/>
    </row>
    <row r="484" spans="2:25" ht="12.75" customHeight="1" x14ac:dyDescent="0.2">
      <c r="B484" s="503" t="s">
        <v>6</v>
      </c>
      <c r="C484" s="499" t="s">
        <v>7</v>
      </c>
      <c r="D484" s="499" t="s">
        <v>8</v>
      </c>
      <c r="E484" s="499" t="s">
        <v>9</v>
      </c>
      <c r="F484" s="507" t="s">
        <v>340</v>
      </c>
      <c r="G484" s="483" t="s">
        <v>11</v>
      </c>
      <c r="H484" s="483" t="s">
        <v>12</v>
      </c>
      <c r="I484" s="499" t="s">
        <v>13</v>
      </c>
      <c r="J484" s="499" t="s">
        <v>14</v>
      </c>
      <c r="K484" s="501" t="s">
        <v>15</v>
      </c>
      <c r="L484" s="23"/>
      <c r="M484" s="495" t="s">
        <v>16</v>
      </c>
      <c r="N484" s="495" t="s">
        <v>17</v>
      </c>
      <c r="O484" s="489" t="s">
        <v>18</v>
      </c>
      <c r="P484" s="489" t="s">
        <v>19</v>
      </c>
      <c r="Q484" s="489" t="s">
        <v>20</v>
      </c>
      <c r="R484" s="490" t="s">
        <v>21</v>
      </c>
      <c r="S484" s="495" t="s">
        <v>22</v>
      </c>
      <c r="T484" s="495" t="s">
        <v>16</v>
      </c>
      <c r="U484" s="498" t="s">
        <v>23</v>
      </c>
      <c r="V484" s="498" t="s">
        <v>24</v>
      </c>
      <c r="W484" s="489" t="s">
        <v>25</v>
      </c>
      <c r="X484" s="489" t="s">
        <v>26</v>
      </c>
      <c r="Y484" s="497" t="s">
        <v>27</v>
      </c>
    </row>
    <row r="485" spans="2:25" ht="13.5" customHeight="1" thickBot="1" x14ac:dyDescent="0.25">
      <c r="B485" s="504"/>
      <c r="C485" s="500"/>
      <c r="D485" s="500"/>
      <c r="E485" s="500"/>
      <c r="F485" s="508"/>
      <c r="G485" s="484"/>
      <c r="H485" s="484"/>
      <c r="I485" s="500"/>
      <c r="J485" s="500"/>
      <c r="K485" s="502"/>
      <c r="L485" s="23"/>
      <c r="M485" s="495"/>
      <c r="N485" s="495"/>
      <c r="O485" s="489"/>
      <c r="P485" s="489"/>
      <c r="Q485" s="489"/>
      <c r="R485" s="490"/>
      <c r="S485" s="495"/>
      <c r="T485" s="495"/>
      <c r="U485" s="498"/>
      <c r="V485" s="498"/>
      <c r="W485" s="489"/>
      <c r="X485" s="489"/>
      <c r="Y485" s="497"/>
    </row>
    <row r="486" spans="2:25" ht="13.5" customHeight="1" thickBot="1" x14ac:dyDescent="0.25">
      <c r="B486" s="23"/>
      <c r="C486" s="23"/>
      <c r="D486" s="23"/>
      <c r="E486" s="23"/>
      <c r="F486" s="313"/>
      <c r="G486" s="247"/>
      <c r="H486" s="247"/>
      <c r="I486" s="23"/>
      <c r="J486" s="23"/>
      <c r="K486" s="248"/>
      <c r="L486" s="23"/>
      <c r="N486" s="64"/>
      <c r="S486" s="84"/>
      <c r="X486" s="68"/>
    </row>
    <row r="487" spans="2:25" x14ac:dyDescent="0.2">
      <c r="B487" s="25" t="s">
        <v>470</v>
      </c>
      <c r="C487" s="26" t="s">
        <v>345</v>
      </c>
      <c r="D487" s="27" t="s">
        <v>30</v>
      </c>
      <c r="E487" s="28">
        <v>42433</v>
      </c>
      <c r="F487" s="358">
        <v>3237.84</v>
      </c>
      <c r="G487" s="29">
        <v>0</v>
      </c>
      <c r="H487" s="29">
        <v>209</v>
      </c>
      <c r="I487" s="29">
        <f t="shared" ref="I487:I492" si="183">F487/7*O487</f>
        <v>32378.400000000001</v>
      </c>
      <c r="J487" s="29">
        <f t="shared" ref="J487:J492" si="184">F487/7*P487</f>
        <v>8880.9325714285715</v>
      </c>
      <c r="K487" s="30">
        <f>F487/7*12+R487+R487</f>
        <v>6220.9028571428571</v>
      </c>
      <c r="L487" s="302"/>
      <c r="M487" s="460">
        <v>2998</v>
      </c>
      <c r="N487" s="87">
        <f>M487*(1+8%)</f>
        <v>3237.84</v>
      </c>
      <c r="O487" s="34">
        <v>70</v>
      </c>
      <c r="P487" s="34">
        <v>19.2</v>
      </c>
      <c r="Q487" s="35">
        <v>42433</v>
      </c>
      <c r="R487" s="36">
        <v>335.16</v>
      </c>
      <c r="S487" s="103">
        <f t="shared" ref="S487:S492" si="185">M487*(1+V487)</f>
        <v>3237.84</v>
      </c>
      <c r="T487" s="38">
        <f>S487/1.08</f>
        <v>2998</v>
      </c>
      <c r="U487" s="259">
        <v>0</v>
      </c>
      <c r="V487" s="39">
        <v>0.08</v>
      </c>
      <c r="W487" s="40">
        <v>44377</v>
      </c>
      <c r="X487" s="41">
        <f t="shared" ref="X487:X492" si="186">(YEAR(W487)-YEAR(E487))*12+MONTH(W487)-MONTH(E487)</f>
        <v>63</v>
      </c>
      <c r="Y487" s="42">
        <f t="shared" ref="Y487:Y492" si="187">X487/12</f>
        <v>5.25</v>
      </c>
    </row>
    <row r="488" spans="2:25" x14ac:dyDescent="0.2">
      <c r="B488" s="43" t="s">
        <v>471</v>
      </c>
      <c r="C488" s="105" t="s">
        <v>472</v>
      </c>
      <c r="D488" s="45" t="s">
        <v>30</v>
      </c>
      <c r="E488" s="46">
        <v>42644</v>
      </c>
      <c r="F488" s="124">
        <v>2063.7051480000005</v>
      </c>
      <c r="G488" s="124">
        <v>0</v>
      </c>
      <c r="H488" s="48"/>
      <c r="I488" s="124">
        <f t="shared" si="183"/>
        <v>20637.051480000006</v>
      </c>
      <c r="J488" s="124">
        <f t="shared" si="184"/>
        <v>4952.8923552000015</v>
      </c>
      <c r="K488" s="125">
        <v>0</v>
      </c>
      <c r="L488" s="50"/>
      <c r="M488" s="461">
        <v>1910.8381000000002</v>
      </c>
      <c r="N488" s="87">
        <f t="shared" ref="N488:N492" si="188">M488*(1+8%)</f>
        <v>2063.7051480000005</v>
      </c>
      <c r="O488" s="34">
        <v>70</v>
      </c>
      <c r="P488" s="34">
        <v>16.8</v>
      </c>
      <c r="Q488" s="51">
        <v>42644</v>
      </c>
      <c r="R488" s="36">
        <v>0</v>
      </c>
      <c r="S488" s="103">
        <f t="shared" si="185"/>
        <v>2063.7051480000005</v>
      </c>
      <c r="T488" s="38">
        <f t="shared" ref="T488:T492" si="189">S488/1.08</f>
        <v>1910.8381000000004</v>
      </c>
      <c r="U488" s="259">
        <v>0</v>
      </c>
      <c r="V488" s="39">
        <v>0.08</v>
      </c>
      <c r="W488" s="40">
        <v>44377</v>
      </c>
      <c r="X488" s="41">
        <f t="shared" si="186"/>
        <v>56</v>
      </c>
      <c r="Y488" s="42">
        <f t="shared" si="187"/>
        <v>4.666666666666667</v>
      </c>
    </row>
    <row r="489" spans="2:25" x14ac:dyDescent="0.2">
      <c r="B489" s="88" t="s">
        <v>473</v>
      </c>
      <c r="C489" s="89" t="s">
        <v>345</v>
      </c>
      <c r="D489" s="45" t="s">
        <v>30</v>
      </c>
      <c r="E489" s="106">
        <v>42434</v>
      </c>
      <c r="F489" s="301">
        <v>4052.1600000000003</v>
      </c>
      <c r="G489" s="124">
        <v>0</v>
      </c>
      <c r="H489" s="47">
        <v>209</v>
      </c>
      <c r="I489" s="124">
        <f t="shared" si="183"/>
        <v>40521.599999999999</v>
      </c>
      <c r="J489" s="124">
        <f t="shared" si="184"/>
        <v>11114.495999999999</v>
      </c>
      <c r="K489" s="125">
        <f t="shared" ref="K489:K492" si="190">F489/7*12+R489+R489</f>
        <v>7616.8799999999992</v>
      </c>
      <c r="L489" s="31"/>
      <c r="M489" s="461">
        <v>3752</v>
      </c>
      <c r="N489" s="87">
        <f t="shared" si="188"/>
        <v>4052.1600000000003</v>
      </c>
      <c r="O489" s="34">
        <v>70</v>
      </c>
      <c r="P489" s="34">
        <v>19.2</v>
      </c>
      <c r="Q489" s="35">
        <v>42434</v>
      </c>
      <c r="R489" s="36">
        <v>335.16</v>
      </c>
      <c r="S489" s="103">
        <f t="shared" si="185"/>
        <v>4052.1600000000003</v>
      </c>
      <c r="T489" s="38">
        <f t="shared" si="189"/>
        <v>3752</v>
      </c>
      <c r="U489" s="259">
        <v>0</v>
      </c>
      <c r="V489" s="39">
        <v>0.08</v>
      </c>
      <c r="W489" s="40">
        <v>44377</v>
      </c>
      <c r="X489" s="41">
        <f t="shared" si="186"/>
        <v>63</v>
      </c>
      <c r="Y489" s="42">
        <f t="shared" si="187"/>
        <v>5.25</v>
      </c>
    </row>
    <row r="490" spans="2:25" x14ac:dyDescent="0.2">
      <c r="B490" s="88" t="s">
        <v>474</v>
      </c>
      <c r="C490" s="89" t="s">
        <v>475</v>
      </c>
      <c r="D490" s="45" t="s">
        <v>30</v>
      </c>
      <c r="E490" s="106">
        <v>42434</v>
      </c>
      <c r="F490" s="124">
        <v>3238.3725480000007</v>
      </c>
      <c r="G490" s="124">
        <v>0</v>
      </c>
      <c r="H490" s="47">
        <v>209</v>
      </c>
      <c r="I490" s="124">
        <f t="shared" si="183"/>
        <v>32383.725480000005</v>
      </c>
      <c r="J490" s="124">
        <f t="shared" si="184"/>
        <v>8882.3932745142865</v>
      </c>
      <c r="K490" s="125">
        <f t="shared" si="190"/>
        <v>6221.815796571429</v>
      </c>
      <c r="L490" s="31"/>
      <c r="M490" s="461">
        <v>2998.4931000000006</v>
      </c>
      <c r="N490" s="87">
        <f t="shared" si="188"/>
        <v>3238.3725480000007</v>
      </c>
      <c r="O490" s="34">
        <v>70</v>
      </c>
      <c r="P490" s="34">
        <v>19.2</v>
      </c>
      <c r="Q490" s="35">
        <v>42434</v>
      </c>
      <c r="R490" s="36">
        <v>335.16</v>
      </c>
      <c r="S490" s="103">
        <f t="shared" si="185"/>
        <v>3238.3725480000007</v>
      </c>
      <c r="T490" s="38">
        <f t="shared" si="189"/>
        <v>2998.4931000000006</v>
      </c>
      <c r="U490" s="259">
        <v>0</v>
      </c>
      <c r="V490" s="39">
        <v>0.08</v>
      </c>
      <c r="W490" s="40">
        <v>44377</v>
      </c>
      <c r="X490" s="41">
        <f t="shared" si="186"/>
        <v>63</v>
      </c>
      <c r="Y490" s="42">
        <f t="shared" si="187"/>
        <v>5.25</v>
      </c>
    </row>
    <row r="491" spans="2:25" x14ac:dyDescent="0.2">
      <c r="B491" s="254" t="s">
        <v>476</v>
      </c>
      <c r="C491" s="89" t="s">
        <v>472</v>
      </c>
      <c r="D491" s="90" t="s">
        <v>30</v>
      </c>
      <c r="E491" s="46">
        <v>42644</v>
      </c>
      <c r="F491" s="124">
        <v>2752.4311920000005</v>
      </c>
      <c r="G491" s="124">
        <v>0</v>
      </c>
      <c r="H491" s="48"/>
      <c r="I491" s="124">
        <f t="shared" si="183"/>
        <v>27524.311920000004</v>
      </c>
      <c r="J491" s="124">
        <f t="shared" si="184"/>
        <v>6605.8348608000015</v>
      </c>
      <c r="K491" s="125">
        <v>0</v>
      </c>
      <c r="L491" s="50"/>
      <c r="M491" s="461">
        <v>2548.5474000000004</v>
      </c>
      <c r="N491" s="87">
        <f t="shared" si="188"/>
        <v>2752.4311920000005</v>
      </c>
      <c r="O491" s="34">
        <v>70</v>
      </c>
      <c r="P491" s="34">
        <v>16.8</v>
      </c>
      <c r="Q491" s="51">
        <v>42644</v>
      </c>
      <c r="R491" s="36">
        <v>0</v>
      </c>
      <c r="S491" s="103">
        <f t="shared" si="185"/>
        <v>2752.4311920000005</v>
      </c>
      <c r="T491" s="38">
        <f t="shared" si="189"/>
        <v>2548.5474000000004</v>
      </c>
      <c r="U491" s="259">
        <v>0</v>
      </c>
      <c r="V491" s="39">
        <v>0.08</v>
      </c>
      <c r="W491" s="40">
        <v>44377</v>
      </c>
      <c r="X491" s="41">
        <f t="shared" si="186"/>
        <v>56</v>
      </c>
      <c r="Y491" s="42">
        <f t="shared" si="187"/>
        <v>4.666666666666667</v>
      </c>
    </row>
    <row r="492" spans="2:25" ht="13.5" thickBot="1" x14ac:dyDescent="0.25">
      <c r="B492" s="92" t="s">
        <v>477</v>
      </c>
      <c r="C492" s="93" t="s">
        <v>475</v>
      </c>
      <c r="D492" s="94" t="s">
        <v>30</v>
      </c>
      <c r="E492" s="56">
        <v>42433</v>
      </c>
      <c r="F492" s="359">
        <v>4053.2400000000002</v>
      </c>
      <c r="G492" s="360">
        <v>0</v>
      </c>
      <c r="H492" s="57">
        <v>209</v>
      </c>
      <c r="I492" s="360">
        <f t="shared" si="183"/>
        <v>40532.400000000001</v>
      </c>
      <c r="J492" s="360">
        <f t="shared" si="184"/>
        <v>11117.458285714285</v>
      </c>
      <c r="K492" s="361">
        <f t="shared" si="190"/>
        <v>7618.7314285714283</v>
      </c>
      <c r="L492" s="31"/>
      <c r="M492" s="461">
        <v>3753</v>
      </c>
      <c r="N492" s="87">
        <f t="shared" si="188"/>
        <v>4053.2400000000002</v>
      </c>
      <c r="O492" s="34">
        <v>70</v>
      </c>
      <c r="P492" s="34">
        <v>19.2</v>
      </c>
      <c r="Q492" s="35">
        <v>42433</v>
      </c>
      <c r="R492" s="36">
        <v>335.16</v>
      </c>
      <c r="S492" s="103">
        <f t="shared" si="185"/>
        <v>4053.2400000000002</v>
      </c>
      <c r="T492" s="38">
        <f t="shared" si="189"/>
        <v>3753</v>
      </c>
      <c r="U492" s="259">
        <v>0</v>
      </c>
      <c r="V492" s="39">
        <v>0.08</v>
      </c>
      <c r="W492" s="40">
        <v>44377</v>
      </c>
      <c r="X492" s="41">
        <f t="shared" si="186"/>
        <v>63</v>
      </c>
      <c r="Y492" s="42">
        <f t="shared" si="187"/>
        <v>5.25</v>
      </c>
    </row>
    <row r="493" spans="2:25" ht="13.5" thickBot="1" x14ac:dyDescent="0.25">
      <c r="B493" s="97"/>
      <c r="C493" s="97"/>
      <c r="D493" s="98"/>
      <c r="E493" s="99"/>
      <c r="F493" s="100"/>
      <c r="G493" s="100"/>
      <c r="H493" s="100"/>
      <c r="I493" s="100"/>
      <c r="J493" s="100"/>
      <c r="K493" s="101"/>
      <c r="O493" s="1"/>
      <c r="P493" s="1"/>
      <c r="X493" s="1"/>
      <c r="Y493" s="1"/>
    </row>
    <row r="494" spans="2:25" x14ac:dyDescent="0.2">
      <c r="B494" s="69" t="s">
        <v>39</v>
      </c>
      <c r="C494" s="69" t="s">
        <v>40</v>
      </c>
      <c r="D494" s="70"/>
      <c r="E494" s="362" t="s">
        <v>370</v>
      </c>
      <c r="F494" s="239">
        <f t="shared" ref="F494:K494" si="191">SUM(F487:F493)</f>
        <v>19397.748888000002</v>
      </c>
      <c r="G494" s="239">
        <f t="shared" si="191"/>
        <v>0</v>
      </c>
      <c r="H494" s="239">
        <f t="shared" si="191"/>
        <v>836</v>
      </c>
      <c r="I494" s="239">
        <f t="shared" si="191"/>
        <v>193977.48887999999</v>
      </c>
      <c r="J494" s="239">
        <f t="shared" si="191"/>
        <v>51554.007347657142</v>
      </c>
      <c r="K494" s="239">
        <f t="shared" si="191"/>
        <v>27678.330082285713</v>
      </c>
      <c r="L494" s="73"/>
      <c r="O494" s="1"/>
      <c r="P494" s="1"/>
      <c r="X494" s="1"/>
      <c r="Y494" s="1"/>
    </row>
    <row r="495" spans="2:25" ht="19.5" customHeight="1" thickBot="1" x14ac:dyDescent="0.25">
      <c r="B495" s="69" t="s">
        <v>43</v>
      </c>
      <c r="C495" s="69" t="s">
        <v>44</v>
      </c>
      <c r="E495" s="232" t="s">
        <v>46</v>
      </c>
      <c r="F495" s="241">
        <f>F494/7*365</f>
        <v>1011454.0491600002</v>
      </c>
      <c r="G495" s="241">
        <f>G494*6</f>
        <v>0</v>
      </c>
      <c r="H495" s="241">
        <f>H494/7*52</f>
        <v>6210.2857142857147</v>
      </c>
      <c r="I495" s="241">
        <f>I494</f>
        <v>193977.48887999999</v>
      </c>
      <c r="J495" s="241">
        <f>J494</f>
        <v>51554.007347657142</v>
      </c>
      <c r="K495" s="241">
        <f>K494</f>
        <v>27678.330082285713</v>
      </c>
      <c r="L495" s="73"/>
      <c r="M495" s="77">
        <f>SUM(F495:K495)</f>
        <v>1290874.1611842287</v>
      </c>
      <c r="N495" s="78"/>
      <c r="O495" s="176"/>
      <c r="P495" s="176"/>
      <c r="Q495" s="176"/>
      <c r="R495" s="81">
        <f>SUM(R487:R492)</f>
        <v>1340.64</v>
      </c>
      <c r="S495" s="77">
        <f>M495*(1+V495)</f>
        <v>1394144.0940789671</v>
      </c>
      <c r="T495" s="77"/>
      <c r="U495" s="177">
        <f>SUM(U487:U494)</f>
        <v>0</v>
      </c>
      <c r="V495" s="82">
        <v>0.08</v>
      </c>
      <c r="W495" s="80"/>
      <c r="X495" s="176"/>
      <c r="Y495" s="176"/>
    </row>
    <row r="496" spans="2:25" x14ac:dyDescent="0.2">
      <c r="B496" s="69"/>
      <c r="C496" s="69"/>
      <c r="O496" s="1"/>
      <c r="P496" s="1"/>
      <c r="X496" s="1"/>
      <c r="Y496" s="1"/>
    </row>
    <row r="497" spans="1:25" ht="15" x14ac:dyDescent="0.25">
      <c r="B497" s="13"/>
      <c r="C497" s="13"/>
      <c r="D497" s="13" t="s">
        <v>639</v>
      </c>
      <c r="E497" s="13"/>
      <c r="F497" s="13"/>
      <c r="G497" s="13"/>
      <c r="H497" s="13"/>
      <c r="I497" s="14"/>
      <c r="J497" s="13"/>
      <c r="K497" s="13"/>
      <c r="L497" s="15"/>
      <c r="N497" s="64"/>
      <c r="Q497" s="206"/>
      <c r="R497" s="185"/>
      <c r="S497" s="84"/>
      <c r="V497" s="66"/>
      <c r="W497" s="67"/>
      <c r="X497" s="68"/>
    </row>
    <row r="498" spans="1:25" ht="15" x14ac:dyDescent="0.25">
      <c r="B498" s="16" t="s">
        <v>4</v>
      </c>
      <c r="C498" s="16"/>
      <c r="D498" s="13" t="s">
        <v>339</v>
      </c>
      <c r="E498" s="13"/>
      <c r="F498" s="14"/>
      <c r="G498" s="14"/>
      <c r="H498" s="476"/>
      <c r="I498" s="476"/>
      <c r="J498" s="14"/>
      <c r="K498" s="17"/>
      <c r="L498" s="18"/>
      <c r="N498" s="64"/>
      <c r="Q498" s="206"/>
      <c r="S498" s="84"/>
      <c r="V498" s="66"/>
      <c r="W498" s="67"/>
      <c r="X498" s="68"/>
    </row>
    <row r="499" spans="1:25" ht="15.75" thickBot="1" x14ac:dyDescent="0.3">
      <c r="B499" s="18"/>
      <c r="C499" s="18"/>
      <c r="D499" s="245"/>
      <c r="E499" s="245"/>
      <c r="F499" s="15"/>
      <c r="G499" s="15"/>
      <c r="H499" s="15"/>
      <c r="I499" s="15"/>
      <c r="J499" s="15"/>
      <c r="K499" s="116"/>
      <c r="L499" s="18"/>
      <c r="N499" s="64"/>
      <c r="O499" s="363"/>
      <c r="P499" s="363"/>
      <c r="Q499" s="363"/>
      <c r="R499" s="364"/>
      <c r="S499" s="64"/>
      <c r="T499" s="64"/>
      <c r="U499" s="363"/>
      <c r="V499" s="365"/>
      <c r="W499" s="365"/>
      <c r="X499" s="363"/>
      <c r="Y499" s="363"/>
    </row>
    <row r="500" spans="1:25" ht="12.75" customHeight="1" x14ac:dyDescent="0.2">
      <c r="B500" s="503" t="s">
        <v>6</v>
      </c>
      <c r="C500" s="499" t="s">
        <v>7</v>
      </c>
      <c r="D500" s="499" t="s">
        <v>8</v>
      </c>
      <c r="E500" s="499" t="s">
        <v>9</v>
      </c>
      <c r="F500" s="507" t="s">
        <v>340</v>
      </c>
      <c r="G500" s="483" t="s">
        <v>11</v>
      </c>
      <c r="H500" s="483" t="s">
        <v>12</v>
      </c>
      <c r="I500" s="499" t="s">
        <v>13</v>
      </c>
      <c r="J500" s="499" t="s">
        <v>14</v>
      </c>
      <c r="K500" s="501" t="s">
        <v>15</v>
      </c>
      <c r="L500" s="23"/>
      <c r="M500" s="495" t="s">
        <v>16</v>
      </c>
      <c r="N500" s="495" t="s">
        <v>17</v>
      </c>
      <c r="O500" s="489" t="s">
        <v>18</v>
      </c>
      <c r="P500" s="489" t="s">
        <v>19</v>
      </c>
      <c r="Q500" s="489" t="s">
        <v>20</v>
      </c>
      <c r="R500" s="490" t="s">
        <v>21</v>
      </c>
      <c r="S500" s="495" t="s">
        <v>22</v>
      </c>
      <c r="T500" s="495" t="s">
        <v>16</v>
      </c>
      <c r="U500" s="498" t="s">
        <v>23</v>
      </c>
      <c r="V500" s="498" t="s">
        <v>24</v>
      </c>
      <c r="W500" s="489" t="s">
        <v>25</v>
      </c>
      <c r="X500" s="489" t="s">
        <v>26</v>
      </c>
      <c r="Y500" s="497" t="s">
        <v>27</v>
      </c>
    </row>
    <row r="501" spans="1:25" ht="13.5" customHeight="1" thickBot="1" x14ac:dyDescent="0.25">
      <c r="B501" s="504"/>
      <c r="C501" s="500"/>
      <c r="D501" s="500"/>
      <c r="E501" s="500"/>
      <c r="F501" s="508"/>
      <c r="G501" s="484"/>
      <c r="H501" s="484"/>
      <c r="I501" s="500"/>
      <c r="J501" s="500"/>
      <c r="K501" s="502"/>
      <c r="L501" s="23"/>
      <c r="M501" s="495"/>
      <c r="N501" s="495"/>
      <c r="O501" s="489"/>
      <c r="P501" s="489"/>
      <c r="Q501" s="489"/>
      <c r="R501" s="490"/>
      <c r="S501" s="495"/>
      <c r="T501" s="495"/>
      <c r="U501" s="498"/>
      <c r="V501" s="498"/>
      <c r="W501" s="489"/>
      <c r="X501" s="489"/>
      <c r="Y501" s="497"/>
    </row>
    <row r="502" spans="1:25" ht="13.5" customHeight="1" thickBot="1" x14ac:dyDescent="0.25">
      <c r="B502" s="23"/>
      <c r="C502" s="23"/>
      <c r="D502" s="23"/>
      <c r="E502" s="23"/>
      <c r="F502" s="313"/>
      <c r="G502" s="247"/>
      <c r="H502" s="247"/>
      <c r="I502" s="23"/>
      <c r="J502" s="23"/>
      <c r="K502" s="248"/>
      <c r="L502" s="23"/>
      <c r="N502" s="64"/>
      <c r="Q502" s="206"/>
      <c r="R502" s="185"/>
      <c r="S502" s="84"/>
      <c r="V502" s="66"/>
      <c r="W502" s="67"/>
      <c r="X502" s="68"/>
    </row>
    <row r="503" spans="1:25" x14ac:dyDescent="0.2">
      <c r="B503" s="117" t="s">
        <v>478</v>
      </c>
      <c r="C503" s="26" t="s">
        <v>479</v>
      </c>
      <c r="D503" s="366" t="s">
        <v>30</v>
      </c>
      <c r="E503" s="118">
        <v>42450</v>
      </c>
      <c r="F503" s="29">
        <v>2596.6332000000002</v>
      </c>
      <c r="G503" s="85">
        <v>0</v>
      </c>
      <c r="H503" s="85">
        <v>400</v>
      </c>
      <c r="I503" s="29">
        <f t="shared" ref="I503:I510" si="192">F503/7*O503</f>
        <v>25966.332000000002</v>
      </c>
      <c r="J503" s="29">
        <f t="shared" ref="J503:J510" si="193">F503/7*P503</f>
        <v>7122.1939200000006</v>
      </c>
      <c r="K503" s="30">
        <f>F503/7*12+R503+R503</f>
        <v>5121.6912000000002</v>
      </c>
      <c r="L503" s="50"/>
      <c r="M503" s="460">
        <v>2404.29</v>
      </c>
      <c r="N503" s="87">
        <f>M503*(1+8%)</f>
        <v>2596.6332000000002</v>
      </c>
      <c r="O503" s="34">
        <v>70</v>
      </c>
      <c r="P503" s="34">
        <v>19.2</v>
      </c>
      <c r="Q503" s="51">
        <v>42450</v>
      </c>
      <c r="R503" s="36">
        <v>335.16</v>
      </c>
      <c r="S503" s="103">
        <f t="shared" ref="S503:S518" si="194">M503*(1+V503)</f>
        <v>2596.6332000000002</v>
      </c>
      <c r="T503" s="38">
        <f>S503/1.08</f>
        <v>2404.29</v>
      </c>
      <c r="U503" s="259">
        <v>0</v>
      </c>
      <c r="V503" s="39">
        <v>0.08</v>
      </c>
      <c r="W503" s="40">
        <v>44377</v>
      </c>
      <c r="X503" s="41">
        <f t="shared" ref="X503:X518" si="195">(YEAR(W503)-YEAR(E503))*12+MONTH(W503)-MONTH(E503)</f>
        <v>63</v>
      </c>
      <c r="Y503" s="42">
        <f t="shared" ref="Y503:Y518" si="196">X503/12</f>
        <v>5.25</v>
      </c>
    </row>
    <row r="504" spans="1:25" x14ac:dyDescent="0.2">
      <c r="B504" s="43" t="s">
        <v>480</v>
      </c>
      <c r="C504" s="89" t="s">
        <v>479</v>
      </c>
      <c r="D504" s="213" t="s">
        <v>30</v>
      </c>
      <c r="E504" s="46">
        <v>43129</v>
      </c>
      <c r="F504" s="124">
        <v>1587.6557280000004</v>
      </c>
      <c r="G504" s="48">
        <v>0</v>
      </c>
      <c r="H504" s="48"/>
      <c r="I504" s="124">
        <f t="shared" si="192"/>
        <v>15876.557280000005</v>
      </c>
      <c r="J504" s="124">
        <f t="shared" si="193"/>
        <v>3810.3737472000012</v>
      </c>
      <c r="K504" s="125"/>
      <c r="L504" s="50"/>
      <c r="M504" s="460">
        <v>1470.0516000000002</v>
      </c>
      <c r="N504" s="87">
        <f t="shared" ref="N504:N518" si="197">M504*(1+8%)</f>
        <v>1587.6557280000004</v>
      </c>
      <c r="O504" s="34">
        <v>70</v>
      </c>
      <c r="P504" s="34">
        <v>16.8</v>
      </c>
      <c r="Q504" s="51">
        <v>43129</v>
      </c>
      <c r="R504" s="36">
        <v>0</v>
      </c>
      <c r="S504" s="103">
        <f t="shared" si="194"/>
        <v>1587.6557280000004</v>
      </c>
      <c r="T504" s="38">
        <f t="shared" ref="T504:T518" si="198">S504/1.08</f>
        <v>1470.0516000000002</v>
      </c>
      <c r="U504" s="259">
        <v>0</v>
      </c>
      <c r="V504" s="39">
        <v>0.08</v>
      </c>
      <c r="W504" s="40">
        <v>44377</v>
      </c>
      <c r="X504" s="41">
        <f t="shared" si="195"/>
        <v>41</v>
      </c>
      <c r="Y504" s="42">
        <f t="shared" si="196"/>
        <v>3.4166666666666665</v>
      </c>
    </row>
    <row r="505" spans="1:25" x14ac:dyDescent="0.2">
      <c r="A505" s="1" t="s">
        <v>90</v>
      </c>
      <c r="B505" s="43" t="s">
        <v>481</v>
      </c>
      <c r="C505" s="89" t="s">
        <v>479</v>
      </c>
      <c r="D505" s="213" t="s">
        <v>30</v>
      </c>
      <c r="E505" s="46">
        <v>43640</v>
      </c>
      <c r="F505" s="301">
        <v>2426.7600000000002</v>
      </c>
      <c r="G505" s="48">
        <v>0</v>
      </c>
      <c r="H505" s="48"/>
      <c r="I505" s="124">
        <f t="shared" si="192"/>
        <v>24267.600000000002</v>
      </c>
      <c r="J505" s="124">
        <f t="shared" si="193"/>
        <v>4992.192</v>
      </c>
      <c r="K505" s="125"/>
      <c r="L505" s="50"/>
      <c r="M505" s="460">
        <v>2247</v>
      </c>
      <c r="N505" s="87">
        <f t="shared" si="197"/>
        <v>2426.7600000000002</v>
      </c>
      <c r="O505" s="34">
        <v>70</v>
      </c>
      <c r="P505" s="34">
        <v>14.4</v>
      </c>
      <c r="Q505" s="51">
        <v>43640</v>
      </c>
      <c r="R505" s="36">
        <v>0</v>
      </c>
      <c r="S505" s="103">
        <f t="shared" si="194"/>
        <v>2426.7600000000002</v>
      </c>
      <c r="T505" s="38">
        <f t="shared" si="198"/>
        <v>2247</v>
      </c>
      <c r="U505" s="259">
        <v>0</v>
      </c>
      <c r="V505" s="39">
        <v>0.08</v>
      </c>
      <c r="W505" s="40">
        <v>44377</v>
      </c>
      <c r="X505" s="41">
        <f t="shared" si="195"/>
        <v>24</v>
      </c>
      <c r="Y505" s="42">
        <f t="shared" si="196"/>
        <v>2</v>
      </c>
    </row>
    <row r="506" spans="1:25" x14ac:dyDescent="0.2">
      <c r="B506" s="43" t="s">
        <v>482</v>
      </c>
      <c r="C506" s="89" t="s">
        <v>367</v>
      </c>
      <c r="D506" s="213" t="s">
        <v>30</v>
      </c>
      <c r="E506" s="46">
        <v>40238</v>
      </c>
      <c r="F506" s="301">
        <v>4056.4800000000005</v>
      </c>
      <c r="G506" s="48">
        <v>0</v>
      </c>
      <c r="H506" s="48">
        <v>500</v>
      </c>
      <c r="I506" s="124">
        <f t="shared" si="192"/>
        <v>40564.800000000003</v>
      </c>
      <c r="J506" s="124">
        <f t="shared" si="193"/>
        <v>11126.345142857142</v>
      </c>
      <c r="K506" s="125">
        <f>F506/7*12+R506+R506</f>
        <v>7727.2457142857147</v>
      </c>
      <c r="L506" s="50"/>
      <c r="M506" s="460">
        <v>3756</v>
      </c>
      <c r="N506" s="87">
        <f t="shared" si="197"/>
        <v>4056.4800000000005</v>
      </c>
      <c r="O506" s="34">
        <v>70</v>
      </c>
      <c r="P506" s="34">
        <v>19.2</v>
      </c>
      <c r="Q506" s="51">
        <v>40238</v>
      </c>
      <c r="R506" s="36">
        <v>386.64</v>
      </c>
      <c r="S506" s="103">
        <f t="shared" si="194"/>
        <v>4056.4800000000005</v>
      </c>
      <c r="T506" s="38">
        <f t="shared" si="198"/>
        <v>3756</v>
      </c>
      <c r="U506" s="259">
        <v>0</v>
      </c>
      <c r="V506" s="39">
        <v>0.08</v>
      </c>
      <c r="W506" s="40">
        <v>44377</v>
      </c>
      <c r="X506" s="41">
        <f t="shared" si="195"/>
        <v>135</v>
      </c>
      <c r="Y506" s="42">
        <f t="shared" si="196"/>
        <v>11.25</v>
      </c>
    </row>
    <row r="507" spans="1:25" s="130" customFormat="1" x14ac:dyDescent="0.2">
      <c r="A507" s="130" t="s">
        <v>90</v>
      </c>
      <c r="B507" s="368" t="s">
        <v>642</v>
      </c>
      <c r="C507" s="303" t="s">
        <v>479</v>
      </c>
      <c r="D507" s="367" t="s">
        <v>30</v>
      </c>
      <c r="E507" s="166">
        <v>44062</v>
      </c>
      <c r="F507" s="305">
        <v>1717</v>
      </c>
      <c r="G507" s="167"/>
      <c r="H507" s="167"/>
      <c r="I507" s="305">
        <f t="shared" ref="I507" si="199">F507/7*O507</f>
        <v>17170</v>
      </c>
      <c r="J507" s="305">
        <f t="shared" ref="J507" si="200">F507/7*P507</f>
        <v>4709.4857142857136</v>
      </c>
      <c r="K507" s="306"/>
      <c r="L507" s="341"/>
      <c r="M507" s="460">
        <v>1717</v>
      </c>
      <c r="N507" s="168">
        <f t="shared" si="197"/>
        <v>1854.3600000000001</v>
      </c>
      <c r="O507" s="140">
        <v>70</v>
      </c>
      <c r="P507" s="140">
        <v>19.2</v>
      </c>
      <c r="Q507" s="166">
        <v>40238</v>
      </c>
      <c r="R507" s="141">
        <v>386.64</v>
      </c>
      <c r="S507" s="181">
        <f t="shared" ref="S507" si="201">M507*(1+V507)</f>
        <v>1854.3600000000001</v>
      </c>
      <c r="T507" s="142">
        <f t="shared" ref="T507" si="202">S507/1.08</f>
        <v>1717</v>
      </c>
      <c r="U507" s="307">
        <v>0</v>
      </c>
      <c r="V507" s="143">
        <v>0.08</v>
      </c>
      <c r="W507" s="144">
        <v>44377</v>
      </c>
      <c r="X507" s="145">
        <f t="shared" ref="X507" si="203">(YEAR(W507)-YEAR(E507))*12+MONTH(W507)-MONTH(E507)</f>
        <v>10</v>
      </c>
      <c r="Y507" s="146">
        <f t="shared" ref="Y507" si="204">X507/12</f>
        <v>0.83333333333333337</v>
      </c>
    </row>
    <row r="508" spans="1:25" x14ac:dyDescent="0.2">
      <c r="B508" s="43" t="s">
        <v>483</v>
      </c>
      <c r="C508" s="89" t="s">
        <v>479</v>
      </c>
      <c r="D508" s="213" t="s">
        <v>30</v>
      </c>
      <c r="E508" s="46">
        <v>40238</v>
      </c>
      <c r="F508" s="124">
        <v>2889.6818040000007</v>
      </c>
      <c r="G508" s="48">
        <v>0</v>
      </c>
      <c r="H508" s="48">
        <v>400</v>
      </c>
      <c r="I508" s="124">
        <f t="shared" si="192"/>
        <v>28896.818040000009</v>
      </c>
      <c r="J508" s="124">
        <f t="shared" si="193"/>
        <v>7925.9843766857166</v>
      </c>
      <c r="K508" s="125">
        <f>F508/7*12+R508+R508</f>
        <v>5727.0202354285739</v>
      </c>
      <c r="L508" s="50"/>
      <c r="M508" s="460">
        <v>2675.6313000000005</v>
      </c>
      <c r="N508" s="87">
        <f t="shared" si="197"/>
        <v>2889.6818040000007</v>
      </c>
      <c r="O508" s="34">
        <v>70</v>
      </c>
      <c r="P508" s="34">
        <v>19.2</v>
      </c>
      <c r="Q508" s="51">
        <v>40238</v>
      </c>
      <c r="R508" s="36">
        <v>386.64</v>
      </c>
      <c r="S508" s="103">
        <f t="shared" si="194"/>
        <v>2889.6818040000007</v>
      </c>
      <c r="T508" s="38">
        <f t="shared" si="198"/>
        <v>2675.6313000000005</v>
      </c>
      <c r="U508" s="259">
        <v>0</v>
      </c>
      <c r="V508" s="39">
        <v>0.08</v>
      </c>
      <c r="W508" s="40">
        <v>44377</v>
      </c>
      <c r="X508" s="41">
        <f t="shared" si="195"/>
        <v>135</v>
      </c>
      <c r="Y508" s="42">
        <f t="shared" si="196"/>
        <v>11.25</v>
      </c>
    </row>
    <row r="509" spans="1:25" x14ac:dyDescent="0.2">
      <c r="B509" s="43" t="s">
        <v>484</v>
      </c>
      <c r="C509" s="89" t="s">
        <v>479</v>
      </c>
      <c r="D509" s="213" t="s">
        <v>30</v>
      </c>
      <c r="E509" s="46">
        <v>43381</v>
      </c>
      <c r="F509" s="124">
        <v>1854.7380000000003</v>
      </c>
      <c r="G509" s="48">
        <v>0</v>
      </c>
      <c r="H509" s="48"/>
      <c r="I509" s="124">
        <f t="shared" si="192"/>
        <v>18547.380000000005</v>
      </c>
      <c r="J509" s="124">
        <f t="shared" si="193"/>
        <v>3815.4610285714298</v>
      </c>
      <c r="K509" s="125"/>
      <c r="L509" s="50"/>
      <c r="M509" s="460">
        <v>1717.3500000000001</v>
      </c>
      <c r="N509" s="87">
        <f t="shared" si="197"/>
        <v>1854.7380000000003</v>
      </c>
      <c r="O509" s="34">
        <v>70</v>
      </c>
      <c r="P509" s="34">
        <v>14.4</v>
      </c>
      <c r="Q509" s="51">
        <v>43381</v>
      </c>
      <c r="R509" s="36">
        <v>0</v>
      </c>
      <c r="S509" s="103">
        <f t="shared" si="194"/>
        <v>1854.7380000000003</v>
      </c>
      <c r="T509" s="38">
        <f t="shared" si="198"/>
        <v>1717.3500000000001</v>
      </c>
      <c r="U509" s="259">
        <v>0</v>
      </c>
      <c r="V509" s="39">
        <v>0.08</v>
      </c>
      <c r="W509" s="40">
        <v>44377</v>
      </c>
      <c r="X509" s="41">
        <f t="shared" si="195"/>
        <v>32</v>
      </c>
      <c r="Y509" s="42">
        <f t="shared" si="196"/>
        <v>2.6666666666666665</v>
      </c>
    </row>
    <row r="510" spans="1:25" x14ac:dyDescent="0.2">
      <c r="B510" s="43" t="s">
        <v>485</v>
      </c>
      <c r="C510" s="89" t="s">
        <v>479</v>
      </c>
      <c r="D510" s="213" t="s">
        <v>30</v>
      </c>
      <c r="E510" s="46">
        <v>42309</v>
      </c>
      <c r="F510" s="124">
        <v>2596.6332000000002</v>
      </c>
      <c r="G510" s="48">
        <v>0</v>
      </c>
      <c r="H510" s="48">
        <v>400</v>
      </c>
      <c r="I510" s="124">
        <f t="shared" si="192"/>
        <v>25966.332000000002</v>
      </c>
      <c r="J510" s="124">
        <f t="shared" si="193"/>
        <v>7122.1939200000006</v>
      </c>
      <c r="K510" s="125">
        <f>F510/7*12+R510+R510</f>
        <v>5121.6912000000002</v>
      </c>
      <c r="L510" s="50"/>
      <c r="M510" s="460">
        <v>2404.29</v>
      </c>
      <c r="N510" s="87">
        <f t="shared" si="197"/>
        <v>2596.6332000000002</v>
      </c>
      <c r="O510" s="34">
        <v>70</v>
      </c>
      <c r="P510" s="34">
        <v>19.2</v>
      </c>
      <c r="Q510" s="51">
        <v>42309</v>
      </c>
      <c r="R510" s="36">
        <v>335.16</v>
      </c>
      <c r="S510" s="103">
        <f t="shared" si="194"/>
        <v>2596.6332000000002</v>
      </c>
      <c r="T510" s="38">
        <f t="shared" si="198"/>
        <v>2404.29</v>
      </c>
      <c r="U510" s="259">
        <v>0</v>
      </c>
      <c r="V510" s="39">
        <v>0.08</v>
      </c>
      <c r="W510" s="40">
        <v>44377</v>
      </c>
      <c r="X510" s="41">
        <f t="shared" si="195"/>
        <v>67</v>
      </c>
      <c r="Y510" s="42">
        <f t="shared" si="196"/>
        <v>5.583333333333333</v>
      </c>
    </row>
    <row r="511" spans="1:25" s="130" customFormat="1" x14ac:dyDescent="0.2">
      <c r="A511" s="130" t="s">
        <v>90</v>
      </c>
      <c r="B511" s="43" t="s">
        <v>486</v>
      </c>
      <c r="C511" s="303" t="s">
        <v>479</v>
      </c>
      <c r="D511" s="367" t="s">
        <v>30</v>
      </c>
      <c r="E511" s="166">
        <v>43701</v>
      </c>
      <c r="F511" s="301">
        <v>2311.2000000000003</v>
      </c>
      <c r="G511" s="167">
        <v>0</v>
      </c>
      <c r="H511" s="167"/>
      <c r="I511" s="305">
        <v>5179.4285714285716</v>
      </c>
      <c r="J511" s="305">
        <v>1563.4285714285716</v>
      </c>
      <c r="K511" s="306"/>
      <c r="L511" s="50"/>
      <c r="M511" s="460">
        <v>2140</v>
      </c>
      <c r="N511" s="87">
        <f t="shared" si="197"/>
        <v>2311.2000000000003</v>
      </c>
      <c r="O511" s="34">
        <v>70</v>
      </c>
      <c r="P511" s="34">
        <v>14.4</v>
      </c>
      <c r="Q511" s="51">
        <v>43701</v>
      </c>
      <c r="R511" s="36">
        <v>0</v>
      </c>
      <c r="S511" s="181">
        <f t="shared" si="194"/>
        <v>2311.2000000000003</v>
      </c>
      <c r="T511" s="38">
        <f t="shared" si="198"/>
        <v>2140</v>
      </c>
      <c r="U511" s="307">
        <v>0</v>
      </c>
      <c r="V511" s="39">
        <v>0.08</v>
      </c>
      <c r="W511" s="144">
        <v>44377</v>
      </c>
      <c r="X511" s="145">
        <f t="shared" si="195"/>
        <v>22</v>
      </c>
      <c r="Y511" s="146">
        <f t="shared" si="196"/>
        <v>1.8333333333333333</v>
      </c>
    </row>
    <row r="512" spans="1:25" x14ac:dyDescent="0.2">
      <c r="B512" s="43" t="s">
        <v>487</v>
      </c>
      <c r="C512" s="89" t="s">
        <v>479</v>
      </c>
      <c r="D512" s="213" t="s">
        <v>30</v>
      </c>
      <c r="E512" s="46">
        <v>41440</v>
      </c>
      <c r="F512" s="301">
        <v>2943</v>
      </c>
      <c r="G512" s="48">
        <v>0</v>
      </c>
      <c r="H512" s="48">
        <v>400</v>
      </c>
      <c r="I512" s="124">
        <f t="shared" ref="I512:I518" si="205">F512/7*O512</f>
        <v>29430</v>
      </c>
      <c r="J512" s="124">
        <f t="shared" ref="J512:J518" si="206">F512/7*P512</f>
        <v>8072.2285714285717</v>
      </c>
      <c r="K512" s="125">
        <f>F512/7*12+R512+R512</f>
        <v>5715.4628571428566</v>
      </c>
      <c r="L512" s="50"/>
      <c r="M512" s="460">
        <v>2725</v>
      </c>
      <c r="N512" s="87">
        <f t="shared" si="197"/>
        <v>2943</v>
      </c>
      <c r="O512" s="34">
        <v>70</v>
      </c>
      <c r="P512" s="34">
        <v>19.2</v>
      </c>
      <c r="Q512" s="51">
        <v>41440</v>
      </c>
      <c r="R512" s="36">
        <v>335.16</v>
      </c>
      <c r="S512" s="103">
        <f t="shared" si="194"/>
        <v>2943</v>
      </c>
      <c r="T512" s="38">
        <f t="shared" si="198"/>
        <v>2725</v>
      </c>
      <c r="U512" s="259">
        <v>0</v>
      </c>
      <c r="V512" s="39">
        <v>0.08</v>
      </c>
      <c r="W512" s="40">
        <v>44377</v>
      </c>
      <c r="X512" s="41">
        <f t="shared" si="195"/>
        <v>96</v>
      </c>
      <c r="Y512" s="42">
        <f t="shared" si="196"/>
        <v>8</v>
      </c>
    </row>
    <row r="513" spans="2:25" x14ac:dyDescent="0.2">
      <c r="B513" s="43" t="s">
        <v>488</v>
      </c>
      <c r="C513" s="89" t="s">
        <v>479</v>
      </c>
      <c r="D513" s="213" t="s">
        <v>30</v>
      </c>
      <c r="E513" s="46">
        <v>42054</v>
      </c>
      <c r="F513" s="124">
        <v>2596.6332000000002</v>
      </c>
      <c r="G513" s="48">
        <v>0</v>
      </c>
      <c r="H513" s="48">
        <v>400</v>
      </c>
      <c r="I513" s="124">
        <f t="shared" si="205"/>
        <v>25966.332000000002</v>
      </c>
      <c r="J513" s="124">
        <f t="shared" si="206"/>
        <v>7122.1939200000006</v>
      </c>
      <c r="K513" s="125">
        <f>F513/7*12+R513+R513</f>
        <v>5121.6912000000002</v>
      </c>
      <c r="L513" s="50"/>
      <c r="M513" s="460">
        <v>2404.29</v>
      </c>
      <c r="N513" s="87">
        <f t="shared" si="197"/>
        <v>2596.6332000000002</v>
      </c>
      <c r="O513" s="34">
        <v>70</v>
      </c>
      <c r="P513" s="34">
        <v>19.2</v>
      </c>
      <c r="Q513" s="51">
        <v>42054</v>
      </c>
      <c r="R513" s="36">
        <v>335.16</v>
      </c>
      <c r="S513" s="103">
        <f t="shared" si="194"/>
        <v>2596.6332000000002</v>
      </c>
      <c r="T513" s="38">
        <f t="shared" si="198"/>
        <v>2404.29</v>
      </c>
      <c r="U513" s="259">
        <v>0</v>
      </c>
      <c r="V513" s="39">
        <v>0.08</v>
      </c>
      <c r="W513" s="40">
        <v>44377</v>
      </c>
      <c r="X513" s="41">
        <f t="shared" si="195"/>
        <v>76</v>
      </c>
      <c r="Y513" s="42">
        <f t="shared" si="196"/>
        <v>6.333333333333333</v>
      </c>
    </row>
    <row r="514" spans="2:25" x14ac:dyDescent="0.2">
      <c r="B514" s="43" t="s">
        <v>489</v>
      </c>
      <c r="C514" s="89" t="s">
        <v>479</v>
      </c>
      <c r="D514" s="213" t="s">
        <v>30</v>
      </c>
      <c r="E514" s="46">
        <v>43344</v>
      </c>
      <c r="F514" s="301">
        <v>2935.44</v>
      </c>
      <c r="G514" s="48">
        <v>0</v>
      </c>
      <c r="H514" s="48"/>
      <c r="I514" s="124">
        <f t="shared" si="205"/>
        <v>29354.400000000001</v>
      </c>
      <c r="J514" s="124">
        <f t="shared" si="206"/>
        <v>6038.6194285714291</v>
      </c>
      <c r="K514" s="125"/>
      <c r="L514" s="50"/>
      <c r="M514" s="460">
        <v>2718</v>
      </c>
      <c r="N514" s="87">
        <f t="shared" si="197"/>
        <v>2935.44</v>
      </c>
      <c r="O514" s="34">
        <v>70</v>
      </c>
      <c r="P514" s="34">
        <v>14.4</v>
      </c>
      <c r="Q514" s="51">
        <v>43344</v>
      </c>
      <c r="R514" s="36">
        <v>0</v>
      </c>
      <c r="S514" s="103">
        <f t="shared" si="194"/>
        <v>2935.44</v>
      </c>
      <c r="T514" s="38">
        <f t="shared" si="198"/>
        <v>2718</v>
      </c>
      <c r="U514" s="259">
        <v>0</v>
      </c>
      <c r="V514" s="39">
        <v>0.08</v>
      </c>
      <c r="W514" s="40">
        <v>44377</v>
      </c>
      <c r="X514" s="41">
        <f t="shared" si="195"/>
        <v>33</v>
      </c>
      <c r="Y514" s="42">
        <f t="shared" si="196"/>
        <v>2.75</v>
      </c>
    </row>
    <row r="515" spans="2:25" x14ac:dyDescent="0.2">
      <c r="B515" s="43" t="s">
        <v>490</v>
      </c>
      <c r="C515" s="89" t="s">
        <v>479</v>
      </c>
      <c r="D515" s="213" t="s">
        <v>30</v>
      </c>
      <c r="E515" s="46">
        <v>43381</v>
      </c>
      <c r="F515" s="124">
        <v>2426.7600000000002</v>
      </c>
      <c r="G515" s="48">
        <v>0</v>
      </c>
      <c r="H515" s="48"/>
      <c r="I515" s="124">
        <f t="shared" si="205"/>
        <v>24267.600000000002</v>
      </c>
      <c r="J515" s="124">
        <f t="shared" si="206"/>
        <v>4992.192</v>
      </c>
      <c r="K515" s="125"/>
      <c r="L515" s="50"/>
      <c r="M515" s="460">
        <v>2247</v>
      </c>
      <c r="N515" s="87">
        <f t="shared" si="197"/>
        <v>2426.7600000000002</v>
      </c>
      <c r="O515" s="34">
        <v>70</v>
      </c>
      <c r="P515" s="34">
        <v>14.4</v>
      </c>
      <c r="Q515" s="51">
        <v>43381</v>
      </c>
      <c r="R515" s="36">
        <v>0</v>
      </c>
      <c r="S515" s="103">
        <f t="shared" si="194"/>
        <v>2426.7600000000002</v>
      </c>
      <c r="T515" s="38">
        <f t="shared" si="198"/>
        <v>2247</v>
      </c>
      <c r="U515" s="259">
        <v>0</v>
      </c>
      <c r="V515" s="39">
        <v>0.08</v>
      </c>
      <c r="W515" s="40">
        <v>44377</v>
      </c>
      <c r="X515" s="41">
        <f t="shared" si="195"/>
        <v>32</v>
      </c>
      <c r="Y515" s="42">
        <f t="shared" si="196"/>
        <v>2.6666666666666665</v>
      </c>
    </row>
    <row r="516" spans="2:25" x14ac:dyDescent="0.2">
      <c r="B516" s="368" t="s">
        <v>491</v>
      </c>
      <c r="C516" s="303" t="s">
        <v>479</v>
      </c>
      <c r="D516" s="367" t="s">
        <v>30</v>
      </c>
      <c r="E516" s="166">
        <v>43822</v>
      </c>
      <c r="F516" s="305">
        <v>2311.2000000000003</v>
      </c>
      <c r="G516" s="167">
        <v>0</v>
      </c>
      <c r="H516" s="167">
        <v>760</v>
      </c>
      <c r="I516" s="305">
        <f t="shared" si="205"/>
        <v>23112.000000000004</v>
      </c>
      <c r="J516" s="305">
        <f t="shared" si="206"/>
        <v>4754.4685714285724</v>
      </c>
      <c r="K516" s="306"/>
      <c r="L516" s="50"/>
      <c r="M516" s="460">
        <v>2140</v>
      </c>
      <c r="N516" s="87">
        <f t="shared" si="197"/>
        <v>2311.2000000000003</v>
      </c>
      <c r="O516" s="34">
        <v>70</v>
      </c>
      <c r="P516" s="34">
        <v>14.4</v>
      </c>
      <c r="Q516" s="51">
        <v>43822</v>
      </c>
      <c r="R516" s="36">
        <v>0</v>
      </c>
      <c r="S516" s="103">
        <f t="shared" si="194"/>
        <v>2311.2000000000003</v>
      </c>
      <c r="T516" s="38">
        <f t="shared" si="198"/>
        <v>2140</v>
      </c>
      <c r="U516" s="259">
        <v>0</v>
      </c>
      <c r="V516" s="39">
        <v>0.08</v>
      </c>
      <c r="W516" s="40">
        <v>44377</v>
      </c>
      <c r="X516" s="41">
        <f t="shared" si="195"/>
        <v>18</v>
      </c>
      <c r="Y516" s="42">
        <f t="shared" si="196"/>
        <v>1.5</v>
      </c>
    </row>
    <row r="517" spans="2:25" x14ac:dyDescent="0.2">
      <c r="B517" s="43" t="s">
        <v>492</v>
      </c>
      <c r="C517" s="89" t="s">
        <v>479</v>
      </c>
      <c r="D517" s="213" t="s">
        <v>30</v>
      </c>
      <c r="E517" s="46">
        <v>43078</v>
      </c>
      <c r="F517" s="124">
        <v>2596.6332000000002</v>
      </c>
      <c r="G517" s="48">
        <v>0</v>
      </c>
      <c r="H517" s="48">
        <v>400</v>
      </c>
      <c r="I517" s="124">
        <f t="shared" si="205"/>
        <v>25966.332000000002</v>
      </c>
      <c r="J517" s="124">
        <f t="shared" si="206"/>
        <v>6231.9196800000009</v>
      </c>
      <c r="K517" s="125"/>
      <c r="L517" s="50"/>
      <c r="M517" s="460">
        <v>2404.29</v>
      </c>
      <c r="N517" s="87">
        <f t="shared" si="197"/>
        <v>2596.6332000000002</v>
      </c>
      <c r="O517" s="34">
        <v>70</v>
      </c>
      <c r="P517" s="34">
        <v>16.8</v>
      </c>
      <c r="Q517" s="51">
        <v>43078</v>
      </c>
      <c r="R517" s="36">
        <v>0</v>
      </c>
      <c r="S517" s="103">
        <f t="shared" si="194"/>
        <v>2596.6332000000002</v>
      </c>
      <c r="T517" s="38">
        <f t="shared" si="198"/>
        <v>2404.29</v>
      </c>
      <c r="U517" s="259">
        <v>0</v>
      </c>
      <c r="V517" s="39">
        <v>0.08</v>
      </c>
      <c r="W517" s="40">
        <v>44377</v>
      </c>
      <c r="X517" s="41">
        <f t="shared" si="195"/>
        <v>42</v>
      </c>
      <c r="Y517" s="42">
        <f t="shared" si="196"/>
        <v>3.5</v>
      </c>
    </row>
    <row r="518" spans="2:25" x14ac:dyDescent="0.2">
      <c r="B518" s="43" t="s">
        <v>493</v>
      </c>
      <c r="C518" s="89" t="s">
        <v>479</v>
      </c>
      <c r="D518" s="213" t="s">
        <v>30</v>
      </c>
      <c r="E518" s="46">
        <v>43381</v>
      </c>
      <c r="F518" s="124">
        <v>1854.7380000000003</v>
      </c>
      <c r="G518" s="48">
        <v>0</v>
      </c>
      <c r="H518" s="48"/>
      <c r="I518" s="124">
        <f t="shared" si="205"/>
        <v>18547.380000000005</v>
      </c>
      <c r="J518" s="124">
        <f t="shared" si="206"/>
        <v>3815.4610285714298</v>
      </c>
      <c r="K518" s="125"/>
      <c r="L518" s="50"/>
      <c r="M518" s="460">
        <v>1717.3500000000001</v>
      </c>
      <c r="N518" s="87">
        <f t="shared" si="197"/>
        <v>1854.7380000000003</v>
      </c>
      <c r="O518" s="34">
        <v>70</v>
      </c>
      <c r="P518" s="34">
        <v>14.4</v>
      </c>
      <c r="Q518" s="51">
        <v>43381</v>
      </c>
      <c r="R518" s="36">
        <v>0</v>
      </c>
      <c r="S518" s="103">
        <f t="shared" si="194"/>
        <v>1854.7380000000003</v>
      </c>
      <c r="T518" s="38">
        <f t="shared" si="198"/>
        <v>1717.3500000000001</v>
      </c>
      <c r="U518" s="259">
        <v>0</v>
      </c>
      <c r="V518" s="39">
        <v>0.08</v>
      </c>
      <c r="W518" s="40">
        <v>44377</v>
      </c>
      <c r="X518" s="41">
        <f t="shared" si="195"/>
        <v>32</v>
      </c>
      <c r="Y518" s="42">
        <f t="shared" si="196"/>
        <v>2.6666666666666665</v>
      </c>
    </row>
    <row r="519" spans="2:25" s="369" customFormat="1" ht="15.75" thickBot="1" x14ac:dyDescent="0.3">
      <c r="B519" s="370"/>
      <c r="C519" s="371"/>
      <c r="D519" s="372"/>
      <c r="E519" s="373"/>
      <c r="F519" s="373"/>
      <c r="G519" s="373"/>
      <c r="H519" s="373"/>
      <c r="I519" s="373"/>
      <c r="J519" s="373"/>
      <c r="K519" s="374"/>
      <c r="L519" s="375"/>
      <c r="M519" s="376"/>
      <c r="N519" s="377"/>
      <c r="O519" s="372"/>
      <c r="P519" s="372"/>
      <c r="Q519" s="373"/>
      <c r="R519" s="378"/>
      <c r="S519" s="376"/>
      <c r="T519" s="379"/>
      <c r="V519" s="380"/>
      <c r="W519" s="373"/>
      <c r="X519" s="381"/>
      <c r="Y519" s="382"/>
    </row>
    <row r="520" spans="2:25" x14ac:dyDescent="0.2">
      <c r="B520" s="69" t="s">
        <v>39</v>
      </c>
      <c r="C520" s="69" t="s">
        <v>40</v>
      </c>
      <c r="D520" s="70"/>
      <c r="E520" s="362" t="s">
        <v>494</v>
      </c>
      <c r="F520" s="239">
        <f t="shared" ref="F520:K520" si="207">SUM(F503:F518)</f>
        <v>39701.186331999997</v>
      </c>
      <c r="G520" s="239">
        <f t="shared" si="207"/>
        <v>0</v>
      </c>
      <c r="H520" s="239">
        <f t="shared" si="207"/>
        <v>3660</v>
      </c>
      <c r="I520" s="239">
        <f t="shared" si="207"/>
        <v>379079.29189142858</v>
      </c>
      <c r="J520" s="239">
        <f t="shared" si="207"/>
        <v>93214.741621028588</v>
      </c>
      <c r="K520" s="239">
        <f t="shared" si="207"/>
        <v>34534.802406857147</v>
      </c>
      <c r="L520" s="73"/>
      <c r="N520" s="64"/>
      <c r="Q520" s="111"/>
      <c r="S520" s="84"/>
      <c r="V520" s="66"/>
      <c r="W520" s="67"/>
      <c r="X520" s="68"/>
    </row>
    <row r="521" spans="2:25" ht="19.5" customHeight="1" thickBot="1" x14ac:dyDescent="0.25">
      <c r="B521" s="69" t="s">
        <v>43</v>
      </c>
      <c r="C521" s="69" t="s">
        <v>44</v>
      </c>
      <c r="E521" s="232" t="s">
        <v>46</v>
      </c>
      <c r="F521" s="241">
        <f>F520/7*365</f>
        <v>2070133.2873114282</v>
      </c>
      <c r="G521" s="241">
        <f>G520*6</f>
        <v>0</v>
      </c>
      <c r="H521" s="241">
        <f>H520/7*52</f>
        <v>27188.571428571431</v>
      </c>
      <c r="I521" s="241">
        <f>I520</f>
        <v>379079.29189142858</v>
      </c>
      <c r="J521" s="241">
        <f>J520</f>
        <v>93214.741621028588</v>
      </c>
      <c r="K521" s="242">
        <f>K520</f>
        <v>34534.802406857147</v>
      </c>
      <c r="L521" s="73"/>
      <c r="M521" s="77">
        <f>SUM(F521:K521)</f>
        <v>2604150.6946593141</v>
      </c>
      <c r="N521" s="78"/>
      <c r="O521" s="176"/>
      <c r="P521" s="176"/>
      <c r="Q521" s="176"/>
      <c r="R521" s="81">
        <f>SUM(R503:R520)</f>
        <v>2500.56</v>
      </c>
      <c r="S521" s="77">
        <f>M521*(1+V521)</f>
        <v>2812482.7502320595</v>
      </c>
      <c r="T521" s="77"/>
      <c r="U521" s="177">
        <f>SUM(U503:U520)</f>
        <v>0</v>
      </c>
      <c r="V521" s="82">
        <v>0.08</v>
      </c>
      <c r="W521" s="80"/>
      <c r="X521" s="176"/>
      <c r="Y521" s="176"/>
    </row>
    <row r="522" spans="2:25" x14ac:dyDescent="0.2">
      <c r="B522" s="69"/>
      <c r="C522" s="69"/>
      <c r="N522" s="64"/>
      <c r="Q522" s="383"/>
      <c r="S522" s="84"/>
      <c r="V522" s="66"/>
      <c r="W522" s="67"/>
      <c r="X522" s="68"/>
    </row>
    <row r="523" spans="2:25" ht="15" x14ac:dyDescent="0.25">
      <c r="B523" s="13"/>
      <c r="C523" s="13"/>
      <c r="D523" s="13" t="s">
        <v>639</v>
      </c>
      <c r="E523" s="13"/>
      <c r="F523" s="13"/>
      <c r="G523" s="13"/>
      <c r="H523" s="13"/>
      <c r="I523" s="14"/>
      <c r="J523" s="13"/>
      <c r="K523" s="13"/>
      <c r="L523" s="15"/>
      <c r="N523" s="64"/>
      <c r="Q523" s="206"/>
      <c r="S523" s="84"/>
      <c r="V523" s="66"/>
      <c r="W523" s="67"/>
      <c r="X523" s="68"/>
    </row>
    <row r="524" spans="2:25" ht="15" x14ac:dyDescent="0.25">
      <c r="B524" s="16" t="s">
        <v>4</v>
      </c>
      <c r="C524" s="16"/>
      <c r="D524" s="13" t="s">
        <v>495</v>
      </c>
      <c r="E524" s="13"/>
      <c r="F524" s="14"/>
      <c r="G524" s="14"/>
      <c r="H524" s="476"/>
      <c r="I524" s="476"/>
      <c r="J524" s="14"/>
      <c r="K524" s="17"/>
      <c r="L524" s="18"/>
      <c r="N524" s="64"/>
      <c r="Q524" s="206"/>
      <c r="S524" s="84"/>
      <c r="V524" s="66"/>
      <c r="W524" s="67"/>
      <c r="X524" s="68"/>
    </row>
    <row r="525" spans="2:25" ht="15.75" thickBot="1" x14ac:dyDescent="0.3">
      <c r="B525" s="18"/>
      <c r="C525" s="18"/>
      <c r="D525" s="245"/>
      <c r="E525" s="245"/>
      <c r="F525" s="15"/>
      <c r="G525" s="15"/>
      <c r="H525" s="15"/>
      <c r="I525" s="15"/>
      <c r="J525" s="15"/>
      <c r="K525" s="116"/>
      <c r="L525" s="18"/>
      <c r="N525" s="64"/>
      <c r="Q525" s="206"/>
      <c r="S525" s="84"/>
      <c r="V525" s="66"/>
      <c r="W525" s="67"/>
      <c r="X525" s="68"/>
    </row>
    <row r="526" spans="2:25" ht="12.75" customHeight="1" x14ac:dyDescent="0.2">
      <c r="B526" s="503" t="s">
        <v>6</v>
      </c>
      <c r="C526" s="499" t="s">
        <v>7</v>
      </c>
      <c r="D526" s="499" t="s">
        <v>8</v>
      </c>
      <c r="E526" s="499" t="s">
        <v>9</v>
      </c>
      <c r="F526" s="507" t="s">
        <v>340</v>
      </c>
      <c r="G526" s="483" t="s">
        <v>11</v>
      </c>
      <c r="H526" s="483" t="s">
        <v>12</v>
      </c>
      <c r="I526" s="499" t="s">
        <v>13</v>
      </c>
      <c r="J526" s="511" t="s">
        <v>14</v>
      </c>
      <c r="K526" s="513" t="s">
        <v>15</v>
      </c>
      <c r="L526" s="23"/>
      <c r="M526" s="495" t="s">
        <v>16</v>
      </c>
      <c r="N526" s="495" t="s">
        <v>17</v>
      </c>
      <c r="O526" s="489" t="s">
        <v>18</v>
      </c>
      <c r="P526" s="489" t="s">
        <v>19</v>
      </c>
      <c r="Q526" s="489" t="s">
        <v>20</v>
      </c>
      <c r="R526" s="490" t="s">
        <v>21</v>
      </c>
      <c r="S526" s="495" t="s">
        <v>22</v>
      </c>
      <c r="T526" s="495" t="s">
        <v>16</v>
      </c>
      <c r="U526" s="498" t="s">
        <v>23</v>
      </c>
      <c r="V526" s="498" t="s">
        <v>24</v>
      </c>
      <c r="W526" s="489" t="s">
        <v>25</v>
      </c>
      <c r="X526" s="489" t="s">
        <v>26</v>
      </c>
      <c r="Y526" s="497" t="s">
        <v>27</v>
      </c>
    </row>
    <row r="527" spans="2:25" ht="13.5" customHeight="1" thickBot="1" x14ac:dyDescent="0.25">
      <c r="B527" s="504"/>
      <c r="C527" s="500"/>
      <c r="D527" s="500"/>
      <c r="E527" s="500"/>
      <c r="F527" s="508"/>
      <c r="G527" s="484"/>
      <c r="H527" s="484"/>
      <c r="I527" s="500"/>
      <c r="J527" s="512"/>
      <c r="K527" s="514"/>
      <c r="L527" s="23"/>
      <c r="M527" s="495"/>
      <c r="N527" s="495"/>
      <c r="O527" s="489"/>
      <c r="P527" s="489"/>
      <c r="Q527" s="489"/>
      <c r="R527" s="490"/>
      <c r="S527" s="495"/>
      <c r="T527" s="495"/>
      <c r="U527" s="498"/>
      <c r="V527" s="498"/>
      <c r="W527" s="489"/>
      <c r="X527" s="489"/>
      <c r="Y527" s="497"/>
    </row>
    <row r="528" spans="2:25" ht="13.5" customHeight="1" thickBot="1" x14ac:dyDescent="0.25">
      <c r="B528" s="23"/>
      <c r="C528" s="23"/>
      <c r="D528" s="23"/>
      <c r="E528" s="23"/>
      <c r="F528" s="313"/>
      <c r="G528" s="247"/>
      <c r="H528" s="247"/>
      <c r="I528" s="23"/>
      <c r="J528" s="23"/>
      <c r="K528" s="248"/>
      <c r="L528" s="23"/>
      <c r="N528" s="64"/>
      <c r="Q528" s="206"/>
      <c r="S528" s="84"/>
      <c r="V528" s="66"/>
      <c r="W528" s="67"/>
      <c r="X528" s="68"/>
    </row>
    <row r="529" spans="1:25" x14ac:dyDescent="0.2">
      <c r="A529" s="52"/>
      <c r="B529" s="117" t="s">
        <v>496</v>
      </c>
      <c r="C529" s="26" t="s">
        <v>61</v>
      </c>
      <c r="D529" s="366" t="s">
        <v>51</v>
      </c>
      <c r="E529" s="118">
        <v>38880</v>
      </c>
      <c r="F529" s="121">
        <v>1818.9144000000001</v>
      </c>
      <c r="G529" s="121">
        <v>0</v>
      </c>
      <c r="H529" s="120">
        <v>150</v>
      </c>
      <c r="I529" s="120">
        <f t="shared" ref="I529:I558" si="208">F529/7*O529</f>
        <v>18189.144</v>
      </c>
      <c r="J529" s="120">
        <f t="shared" ref="J529:J558" si="209">F529/7*P529</f>
        <v>4989.0223542857148</v>
      </c>
      <c r="K529" s="122">
        <f>F529/7*12+R529+R529</f>
        <v>4176.7789714285718</v>
      </c>
      <c r="L529" s="50"/>
      <c r="M529" s="457">
        <v>1802</v>
      </c>
      <c r="N529" s="87">
        <f>M529*(1+8%)</f>
        <v>1946.16</v>
      </c>
      <c r="O529" s="34">
        <v>70</v>
      </c>
      <c r="P529" s="34">
        <v>19.2</v>
      </c>
      <c r="Q529" s="51">
        <v>38880</v>
      </c>
      <c r="R529" s="36">
        <v>529.32000000000005</v>
      </c>
      <c r="S529" s="103">
        <f t="shared" ref="S529:S558" si="210">M529*(1+V529)</f>
        <v>1946.16</v>
      </c>
      <c r="T529" s="38">
        <f>S529/1.08</f>
        <v>1802</v>
      </c>
      <c r="U529" s="259">
        <v>0</v>
      </c>
      <c r="V529" s="39">
        <v>0.08</v>
      </c>
      <c r="W529" s="40">
        <v>44377</v>
      </c>
      <c r="X529" s="41">
        <f t="shared" ref="X529:X558" si="211">(YEAR(W529)-YEAR(E529))*12+MONTH(W529)-MONTH(E529)</f>
        <v>180</v>
      </c>
      <c r="Y529" s="42">
        <f t="shared" ref="Y529:Y558" si="212">X529/12</f>
        <v>15</v>
      </c>
    </row>
    <row r="530" spans="1:25" x14ac:dyDescent="0.2">
      <c r="A530" s="52"/>
      <c r="B530" s="254" t="s">
        <v>497</v>
      </c>
      <c r="C530" s="89" t="s">
        <v>498</v>
      </c>
      <c r="D530" s="224" t="s">
        <v>30</v>
      </c>
      <c r="E530" s="225">
        <v>43325</v>
      </c>
      <c r="F530" s="127">
        <v>2180.6172000000001</v>
      </c>
      <c r="G530" s="189">
        <v>0</v>
      </c>
      <c r="H530" s="190"/>
      <c r="I530" s="190">
        <f t="shared" si="208"/>
        <v>21806.172000000002</v>
      </c>
      <c r="J530" s="190">
        <f t="shared" si="209"/>
        <v>4485.8410971428575</v>
      </c>
      <c r="K530" s="191"/>
      <c r="L530" s="50"/>
      <c r="M530" s="473">
        <v>2649</v>
      </c>
      <c r="N530" s="87">
        <f t="shared" ref="N530:N558" si="213">M530*(1+8%)</f>
        <v>2860.92</v>
      </c>
      <c r="O530" s="34">
        <v>70</v>
      </c>
      <c r="P530" s="34">
        <v>14.4</v>
      </c>
      <c r="Q530" s="51">
        <v>43325</v>
      </c>
      <c r="R530" s="36">
        <v>0</v>
      </c>
      <c r="S530" s="103">
        <f t="shared" si="210"/>
        <v>2860.92</v>
      </c>
      <c r="T530" s="38">
        <f t="shared" ref="T530:T558" si="214">S530/1.08</f>
        <v>2649</v>
      </c>
      <c r="U530" s="259">
        <v>0</v>
      </c>
      <c r="V530" s="39">
        <v>0.08</v>
      </c>
      <c r="W530" s="40">
        <v>44377</v>
      </c>
      <c r="X530" s="41">
        <f t="shared" si="211"/>
        <v>34</v>
      </c>
      <c r="Y530" s="42">
        <f t="shared" si="212"/>
        <v>2.8333333333333335</v>
      </c>
    </row>
    <row r="531" spans="1:25" x14ac:dyDescent="0.2">
      <c r="A531" s="52"/>
      <c r="B531" s="254" t="s">
        <v>499</v>
      </c>
      <c r="C531" s="89" t="s">
        <v>334</v>
      </c>
      <c r="D531" s="224" t="s">
        <v>51</v>
      </c>
      <c r="E531" s="225">
        <v>37300</v>
      </c>
      <c r="F531" s="127">
        <v>5297.2704000000003</v>
      </c>
      <c r="G531" s="189">
        <v>0</v>
      </c>
      <c r="H531" s="190"/>
      <c r="I531" s="190">
        <f t="shared" si="208"/>
        <v>52972.704000000005</v>
      </c>
      <c r="J531" s="190">
        <f t="shared" si="209"/>
        <v>14529.655954285716</v>
      </c>
      <c r="K531" s="191">
        <f>F531/7*12+R531+R531</f>
        <v>10139.674971428572</v>
      </c>
      <c r="L531" s="50"/>
      <c r="M531" s="473">
        <v>5248</v>
      </c>
      <c r="N531" s="87">
        <f t="shared" si="213"/>
        <v>5667.84</v>
      </c>
      <c r="O531" s="34">
        <v>70</v>
      </c>
      <c r="P531" s="34">
        <v>19.2</v>
      </c>
      <c r="Q531" s="51">
        <v>37300</v>
      </c>
      <c r="R531" s="36">
        <v>529.32000000000005</v>
      </c>
      <c r="S531" s="103">
        <f t="shared" si="210"/>
        <v>5667.84</v>
      </c>
      <c r="T531" s="38">
        <f t="shared" si="214"/>
        <v>5248</v>
      </c>
      <c r="U531" s="259">
        <v>0</v>
      </c>
      <c r="V531" s="39">
        <v>0.08</v>
      </c>
      <c r="W531" s="40">
        <v>44377</v>
      </c>
      <c r="X531" s="41">
        <f t="shared" si="211"/>
        <v>232</v>
      </c>
      <c r="Y531" s="42">
        <f t="shared" si="212"/>
        <v>19.333333333333332</v>
      </c>
    </row>
    <row r="532" spans="1:25" x14ac:dyDescent="0.2">
      <c r="A532" s="52"/>
      <c r="B532" s="254" t="s">
        <v>500</v>
      </c>
      <c r="C532" s="89" t="s">
        <v>201</v>
      </c>
      <c r="D532" s="224" t="s">
        <v>30</v>
      </c>
      <c r="E532" s="225">
        <v>39387</v>
      </c>
      <c r="F532" s="127">
        <v>2307.7332000000001</v>
      </c>
      <c r="G532" s="189">
        <v>0</v>
      </c>
      <c r="H532" s="190"/>
      <c r="I532" s="190">
        <f t="shared" si="208"/>
        <v>23077.331999999999</v>
      </c>
      <c r="J532" s="190">
        <f t="shared" si="209"/>
        <v>6329.7824914285711</v>
      </c>
      <c r="K532" s="191">
        <f>F532/7*12+R532+R532</f>
        <v>4729.3940571428575</v>
      </c>
      <c r="L532" s="50"/>
      <c r="M532" s="473">
        <v>2287</v>
      </c>
      <c r="N532" s="87">
        <f t="shared" si="213"/>
        <v>2469.96</v>
      </c>
      <c r="O532" s="34">
        <v>70</v>
      </c>
      <c r="P532" s="34">
        <v>19.2</v>
      </c>
      <c r="Q532" s="51">
        <v>39387</v>
      </c>
      <c r="R532" s="36">
        <v>386.64</v>
      </c>
      <c r="S532" s="103">
        <f t="shared" si="210"/>
        <v>2469.96</v>
      </c>
      <c r="T532" s="38">
        <f t="shared" si="214"/>
        <v>2287</v>
      </c>
      <c r="U532" s="259">
        <v>0</v>
      </c>
      <c r="V532" s="39">
        <v>0.08</v>
      </c>
      <c r="W532" s="40">
        <v>44377</v>
      </c>
      <c r="X532" s="41">
        <f t="shared" si="211"/>
        <v>163</v>
      </c>
      <c r="Y532" s="42">
        <f t="shared" si="212"/>
        <v>13.583333333333334</v>
      </c>
    </row>
    <row r="533" spans="1:25" x14ac:dyDescent="0.2">
      <c r="A533" s="52"/>
      <c r="B533" s="254" t="s">
        <v>501</v>
      </c>
      <c r="C533" s="89" t="s">
        <v>61</v>
      </c>
      <c r="D533" s="224" t="s">
        <v>30</v>
      </c>
      <c r="E533" s="225">
        <v>42086</v>
      </c>
      <c r="F533" s="127">
        <v>1697.5764000000004</v>
      </c>
      <c r="G533" s="189">
        <v>0</v>
      </c>
      <c r="H533" s="190"/>
      <c r="I533" s="190">
        <f t="shared" si="208"/>
        <v>16975.764000000003</v>
      </c>
      <c r="J533" s="190">
        <f t="shared" si="209"/>
        <v>4656.2095542857151</v>
      </c>
      <c r="K533" s="191">
        <f>F533/7*12+R533+R533</f>
        <v>3580.4509714285718</v>
      </c>
      <c r="L533" s="50"/>
      <c r="M533" s="473">
        <v>1682</v>
      </c>
      <c r="N533" s="87">
        <f t="shared" si="213"/>
        <v>1816.5600000000002</v>
      </c>
      <c r="O533" s="34">
        <v>70</v>
      </c>
      <c r="P533" s="34">
        <v>19.2</v>
      </c>
      <c r="Q533" s="51">
        <v>42086</v>
      </c>
      <c r="R533" s="36">
        <v>335.16</v>
      </c>
      <c r="S533" s="103">
        <f t="shared" si="210"/>
        <v>1816.5600000000002</v>
      </c>
      <c r="T533" s="38">
        <f t="shared" si="214"/>
        <v>1682</v>
      </c>
      <c r="U533" s="259">
        <v>0</v>
      </c>
      <c r="V533" s="39">
        <v>0.08</v>
      </c>
      <c r="W533" s="40">
        <v>44377</v>
      </c>
      <c r="X533" s="41">
        <f t="shared" si="211"/>
        <v>75</v>
      </c>
      <c r="Y533" s="42">
        <f t="shared" si="212"/>
        <v>6.25</v>
      </c>
    </row>
    <row r="534" spans="1:25" x14ac:dyDescent="0.2">
      <c r="A534" s="52"/>
      <c r="B534" s="43" t="s">
        <v>502</v>
      </c>
      <c r="C534" s="89" t="s">
        <v>334</v>
      </c>
      <c r="D534" s="224" t="s">
        <v>51</v>
      </c>
      <c r="E534" s="46">
        <v>41055</v>
      </c>
      <c r="F534" s="127">
        <v>2036.1672000000003</v>
      </c>
      <c r="G534" s="189">
        <v>0</v>
      </c>
      <c r="H534" s="190"/>
      <c r="I534" s="190">
        <f t="shared" si="208"/>
        <v>20361.672000000002</v>
      </c>
      <c r="J534" s="190">
        <f t="shared" si="209"/>
        <v>5584.9157485714286</v>
      </c>
      <c r="K534" s="191">
        <f>F534/7*12+R534+R534</f>
        <v>4160.8923428571434</v>
      </c>
      <c r="L534" s="50"/>
      <c r="M534" s="473">
        <v>2017</v>
      </c>
      <c r="N534" s="87">
        <f t="shared" si="213"/>
        <v>2178.36</v>
      </c>
      <c r="O534" s="34">
        <v>70</v>
      </c>
      <c r="P534" s="34">
        <v>19.2</v>
      </c>
      <c r="Q534" s="51">
        <v>41055</v>
      </c>
      <c r="R534" s="36">
        <v>335.16</v>
      </c>
      <c r="S534" s="103">
        <f t="shared" si="210"/>
        <v>2178.36</v>
      </c>
      <c r="T534" s="38">
        <f t="shared" si="214"/>
        <v>2017</v>
      </c>
      <c r="U534" s="259">
        <v>0</v>
      </c>
      <c r="V534" s="39">
        <v>0.08</v>
      </c>
      <c r="W534" s="40">
        <v>44377</v>
      </c>
      <c r="X534" s="41">
        <f t="shared" si="211"/>
        <v>109</v>
      </c>
      <c r="Y534" s="42">
        <f t="shared" si="212"/>
        <v>9.0833333333333339</v>
      </c>
    </row>
    <row r="535" spans="1:25" x14ac:dyDescent="0.2">
      <c r="A535" s="52"/>
      <c r="B535" s="43" t="s">
        <v>503</v>
      </c>
      <c r="C535" s="89" t="s">
        <v>334</v>
      </c>
      <c r="D535" s="224" t="s">
        <v>30</v>
      </c>
      <c r="E535" s="46">
        <v>42086</v>
      </c>
      <c r="F535" s="127">
        <v>2377.0692000000004</v>
      </c>
      <c r="G535" s="189">
        <v>0</v>
      </c>
      <c r="H535" s="190"/>
      <c r="I535" s="190">
        <f t="shared" si="208"/>
        <v>23770.692000000003</v>
      </c>
      <c r="J535" s="190">
        <f t="shared" si="209"/>
        <v>6519.9612342857145</v>
      </c>
      <c r="K535" s="191">
        <f>F535/7*12+R535+R535</f>
        <v>4745.2957714285712</v>
      </c>
      <c r="L535" s="50"/>
      <c r="M535" s="473">
        <v>2355</v>
      </c>
      <c r="N535" s="87">
        <f t="shared" si="213"/>
        <v>2543.4</v>
      </c>
      <c r="O535" s="34">
        <v>70</v>
      </c>
      <c r="P535" s="34">
        <v>19.2</v>
      </c>
      <c r="Q535" s="51">
        <v>42086</v>
      </c>
      <c r="R535" s="36">
        <v>335.16</v>
      </c>
      <c r="S535" s="103">
        <f t="shared" si="210"/>
        <v>2543.4</v>
      </c>
      <c r="T535" s="38">
        <f t="shared" si="214"/>
        <v>2355</v>
      </c>
      <c r="U535" s="259">
        <v>0</v>
      </c>
      <c r="V535" s="39">
        <v>0.08</v>
      </c>
      <c r="W535" s="40">
        <v>44377</v>
      </c>
      <c r="X535" s="41">
        <f t="shared" si="211"/>
        <v>75</v>
      </c>
      <c r="Y535" s="42">
        <f t="shared" si="212"/>
        <v>6.25</v>
      </c>
    </row>
    <row r="536" spans="1:25" ht="12.75" customHeight="1" x14ac:dyDescent="0.2">
      <c r="A536" s="52"/>
      <c r="B536" s="43" t="s">
        <v>504</v>
      </c>
      <c r="C536" s="89" t="s">
        <v>505</v>
      </c>
      <c r="D536" s="224" t="s">
        <v>30</v>
      </c>
      <c r="E536" s="46">
        <v>43252</v>
      </c>
      <c r="F536" s="127">
        <v>1672.1532000000004</v>
      </c>
      <c r="G536" s="189">
        <v>0</v>
      </c>
      <c r="H536" s="190"/>
      <c r="I536" s="190">
        <f t="shared" si="208"/>
        <v>16721.532000000003</v>
      </c>
      <c r="J536" s="190">
        <f t="shared" si="209"/>
        <v>4013.1676800000009</v>
      </c>
      <c r="K536" s="191"/>
      <c r="L536" s="50"/>
      <c r="M536" s="473">
        <v>1656</v>
      </c>
      <c r="N536" s="87">
        <f t="shared" si="213"/>
        <v>1788.48</v>
      </c>
      <c r="O536" s="34">
        <v>70</v>
      </c>
      <c r="P536" s="34">
        <v>16.8</v>
      </c>
      <c r="Q536" s="51">
        <v>43252</v>
      </c>
      <c r="R536" s="36">
        <v>0</v>
      </c>
      <c r="S536" s="103">
        <f t="shared" si="210"/>
        <v>1788.48</v>
      </c>
      <c r="T536" s="38">
        <f t="shared" si="214"/>
        <v>1656</v>
      </c>
      <c r="U536" s="259">
        <v>0</v>
      </c>
      <c r="V536" s="39">
        <v>0.08</v>
      </c>
      <c r="W536" s="40">
        <v>44377</v>
      </c>
      <c r="X536" s="41">
        <f t="shared" si="211"/>
        <v>36</v>
      </c>
      <c r="Y536" s="42">
        <f t="shared" si="212"/>
        <v>3</v>
      </c>
    </row>
    <row r="537" spans="1:25" ht="12.75" customHeight="1" x14ac:dyDescent="0.2">
      <c r="A537" s="52"/>
      <c r="B537" s="43" t="s">
        <v>506</v>
      </c>
      <c r="C537" s="89" t="s">
        <v>507</v>
      </c>
      <c r="D537" s="224" t="s">
        <v>30</v>
      </c>
      <c r="E537" s="46">
        <v>43976</v>
      </c>
      <c r="F537" s="127">
        <v>2410.56</v>
      </c>
      <c r="G537" s="189">
        <v>0</v>
      </c>
      <c r="H537" s="190"/>
      <c r="I537" s="190">
        <f t="shared" si="208"/>
        <v>24105.599999999999</v>
      </c>
      <c r="J537" s="190">
        <f t="shared" si="209"/>
        <v>4958.8662857142854</v>
      </c>
      <c r="K537" s="191"/>
      <c r="L537" s="50"/>
      <c r="M537" s="473">
        <v>2232</v>
      </c>
      <c r="N537" s="87">
        <f t="shared" si="213"/>
        <v>2410.56</v>
      </c>
      <c r="O537" s="34">
        <v>70</v>
      </c>
      <c r="P537" s="34">
        <v>14.4</v>
      </c>
      <c r="Q537" s="51">
        <v>43976</v>
      </c>
      <c r="R537" s="36">
        <v>0</v>
      </c>
      <c r="S537" s="103">
        <f t="shared" si="210"/>
        <v>2410.56</v>
      </c>
      <c r="T537" s="38">
        <f t="shared" si="214"/>
        <v>2232</v>
      </c>
      <c r="U537" s="259">
        <v>0</v>
      </c>
      <c r="V537" s="39">
        <v>0.08</v>
      </c>
      <c r="W537" s="40">
        <v>44377</v>
      </c>
      <c r="X537" s="41">
        <f t="shared" si="211"/>
        <v>13</v>
      </c>
      <c r="Y537" s="42">
        <f t="shared" si="212"/>
        <v>1.0833333333333333</v>
      </c>
    </row>
    <row r="538" spans="1:25" ht="12.75" customHeight="1" x14ac:dyDescent="0.2">
      <c r="A538" s="52"/>
      <c r="B538" s="43" t="s">
        <v>508</v>
      </c>
      <c r="C538" s="89" t="s">
        <v>509</v>
      </c>
      <c r="D538" s="224" t="s">
        <v>30</v>
      </c>
      <c r="E538" s="46">
        <v>43967</v>
      </c>
      <c r="F538" s="127">
        <v>1816.5600000000002</v>
      </c>
      <c r="G538" s="189">
        <v>0</v>
      </c>
      <c r="H538" s="190"/>
      <c r="I538" s="190">
        <f t="shared" si="208"/>
        <v>18165.599999999999</v>
      </c>
      <c r="J538" s="190">
        <f t="shared" si="209"/>
        <v>3736.9234285714288</v>
      </c>
      <c r="K538" s="191"/>
      <c r="L538" s="50"/>
      <c r="M538" s="473">
        <v>1682</v>
      </c>
      <c r="N538" s="87">
        <f t="shared" si="213"/>
        <v>1816.5600000000002</v>
      </c>
      <c r="O538" s="34">
        <v>70</v>
      </c>
      <c r="P538" s="34">
        <v>14.4</v>
      </c>
      <c r="Q538" s="51">
        <v>43967</v>
      </c>
      <c r="R538" s="36">
        <v>0</v>
      </c>
      <c r="S538" s="103">
        <f t="shared" si="210"/>
        <v>1816.5600000000002</v>
      </c>
      <c r="T538" s="38">
        <f t="shared" si="214"/>
        <v>1682</v>
      </c>
      <c r="U538" s="259">
        <v>0</v>
      </c>
      <c r="V538" s="39">
        <v>0.08</v>
      </c>
      <c r="W538" s="40">
        <v>44377</v>
      </c>
      <c r="X538" s="41">
        <f t="shared" si="211"/>
        <v>13</v>
      </c>
      <c r="Y538" s="42">
        <f t="shared" si="212"/>
        <v>1.0833333333333333</v>
      </c>
    </row>
    <row r="539" spans="1:25" x14ac:dyDescent="0.2">
      <c r="A539" s="52"/>
      <c r="B539" s="43" t="s">
        <v>510</v>
      </c>
      <c r="C539" s="89" t="s">
        <v>201</v>
      </c>
      <c r="D539" s="224" t="s">
        <v>51</v>
      </c>
      <c r="E539" s="46">
        <v>37341</v>
      </c>
      <c r="F539" s="127">
        <v>1408.6764000000003</v>
      </c>
      <c r="G539" s="189">
        <v>0</v>
      </c>
      <c r="H539" s="190"/>
      <c r="I539" s="190">
        <f t="shared" si="208"/>
        <v>14086.764000000003</v>
      </c>
      <c r="J539" s="190">
        <f t="shared" si="209"/>
        <v>3863.7981257142865</v>
      </c>
      <c r="K539" s="191">
        <f>F539/7*12+R539+R539</f>
        <v>3473.5138285714293</v>
      </c>
      <c r="L539" s="50"/>
      <c r="M539" s="473">
        <v>1395</v>
      </c>
      <c r="N539" s="87">
        <f t="shared" si="213"/>
        <v>1506.6000000000001</v>
      </c>
      <c r="O539" s="34">
        <v>70</v>
      </c>
      <c r="P539" s="34">
        <v>19.2</v>
      </c>
      <c r="Q539" s="51">
        <v>37341</v>
      </c>
      <c r="R539" s="36">
        <v>529.32000000000005</v>
      </c>
      <c r="S539" s="103">
        <f t="shared" si="210"/>
        <v>1506.6000000000001</v>
      </c>
      <c r="T539" s="38">
        <f t="shared" si="214"/>
        <v>1395</v>
      </c>
      <c r="U539" s="259">
        <v>0</v>
      </c>
      <c r="V539" s="39">
        <v>0.08</v>
      </c>
      <c r="W539" s="40">
        <v>44377</v>
      </c>
      <c r="X539" s="41">
        <f t="shared" si="211"/>
        <v>231</v>
      </c>
      <c r="Y539" s="42">
        <f t="shared" si="212"/>
        <v>19.25</v>
      </c>
    </row>
    <row r="540" spans="1:25" x14ac:dyDescent="0.2">
      <c r="A540" s="52"/>
      <c r="B540" s="43" t="s">
        <v>511</v>
      </c>
      <c r="C540" s="89" t="s">
        <v>201</v>
      </c>
      <c r="D540" s="224" t="s">
        <v>51</v>
      </c>
      <c r="E540" s="46">
        <v>37614</v>
      </c>
      <c r="F540" s="127">
        <v>1408.6764000000003</v>
      </c>
      <c r="G540" s="189">
        <v>0</v>
      </c>
      <c r="H540" s="190"/>
      <c r="I540" s="190">
        <f t="shared" si="208"/>
        <v>14086.764000000003</v>
      </c>
      <c r="J540" s="190">
        <f t="shared" si="209"/>
        <v>3863.7981257142865</v>
      </c>
      <c r="K540" s="191">
        <f>F540/7*12+R540+R540</f>
        <v>3473.5138285714293</v>
      </c>
      <c r="L540" s="50"/>
      <c r="M540" s="473">
        <v>1395</v>
      </c>
      <c r="N540" s="87">
        <f t="shared" si="213"/>
        <v>1506.6000000000001</v>
      </c>
      <c r="O540" s="34">
        <v>70</v>
      </c>
      <c r="P540" s="34">
        <v>19.2</v>
      </c>
      <c r="Q540" s="51">
        <v>37614</v>
      </c>
      <c r="R540" s="36">
        <v>529.32000000000005</v>
      </c>
      <c r="S540" s="103">
        <f t="shared" si="210"/>
        <v>1506.6000000000001</v>
      </c>
      <c r="T540" s="38">
        <f t="shared" si="214"/>
        <v>1395</v>
      </c>
      <c r="U540" s="259">
        <v>0</v>
      </c>
      <c r="V540" s="39">
        <v>0.08</v>
      </c>
      <c r="W540" s="40">
        <v>44377</v>
      </c>
      <c r="X540" s="41">
        <f t="shared" si="211"/>
        <v>222</v>
      </c>
      <c r="Y540" s="42">
        <f t="shared" si="212"/>
        <v>18.5</v>
      </c>
    </row>
    <row r="541" spans="1:25" ht="12.75" customHeight="1" x14ac:dyDescent="0.2">
      <c r="A541" s="52"/>
      <c r="B541" s="43" t="s">
        <v>512</v>
      </c>
      <c r="C541" s="89" t="s">
        <v>158</v>
      </c>
      <c r="D541" s="213" t="s">
        <v>30</v>
      </c>
      <c r="E541" s="46">
        <v>43225</v>
      </c>
      <c r="F541" s="127">
        <v>1814.2920000000001</v>
      </c>
      <c r="G541" s="127">
        <v>0</v>
      </c>
      <c r="H541" s="190"/>
      <c r="I541" s="190">
        <f t="shared" si="208"/>
        <v>18142.920000000002</v>
      </c>
      <c r="J541" s="190">
        <f t="shared" si="209"/>
        <v>4354.3008000000009</v>
      </c>
      <c r="K541" s="191"/>
      <c r="L541" s="50"/>
      <c r="M541" s="473">
        <v>1798</v>
      </c>
      <c r="N541" s="87">
        <f t="shared" si="213"/>
        <v>1941.8400000000001</v>
      </c>
      <c r="O541" s="34">
        <v>70</v>
      </c>
      <c r="P541" s="34">
        <v>16.8</v>
      </c>
      <c r="Q541" s="51">
        <v>43225</v>
      </c>
      <c r="R541" s="36">
        <v>0</v>
      </c>
      <c r="S541" s="103">
        <f t="shared" si="210"/>
        <v>1941.8400000000001</v>
      </c>
      <c r="T541" s="38">
        <f t="shared" si="214"/>
        <v>1798</v>
      </c>
      <c r="U541" s="259">
        <v>0</v>
      </c>
      <c r="V541" s="39">
        <v>0.08</v>
      </c>
      <c r="W541" s="40">
        <v>44377</v>
      </c>
      <c r="X541" s="41">
        <f t="shared" si="211"/>
        <v>37</v>
      </c>
      <c r="Y541" s="42">
        <f t="shared" si="212"/>
        <v>3.0833333333333335</v>
      </c>
    </row>
    <row r="542" spans="1:25" x14ac:dyDescent="0.2">
      <c r="A542" s="52"/>
      <c r="B542" s="43" t="s">
        <v>513</v>
      </c>
      <c r="C542" s="89" t="s">
        <v>514</v>
      </c>
      <c r="D542" s="213" t="s">
        <v>51</v>
      </c>
      <c r="E542" s="46">
        <v>38883</v>
      </c>
      <c r="F542" s="127">
        <v>1408.6764000000003</v>
      </c>
      <c r="G542" s="127">
        <v>0</v>
      </c>
      <c r="H542" s="190"/>
      <c r="I542" s="190">
        <f t="shared" si="208"/>
        <v>14086.764000000003</v>
      </c>
      <c r="J542" s="190">
        <f t="shared" si="209"/>
        <v>3863.7981257142865</v>
      </c>
      <c r="K542" s="191">
        <f t="shared" ref="K542:K548" si="215">F542/7*12+R542+R542</f>
        <v>3473.5138285714293</v>
      </c>
      <c r="L542" s="50"/>
      <c r="M542" s="473">
        <v>1395</v>
      </c>
      <c r="N542" s="87">
        <f t="shared" si="213"/>
        <v>1506.6000000000001</v>
      </c>
      <c r="O542" s="34">
        <v>70</v>
      </c>
      <c r="P542" s="34">
        <v>19.2</v>
      </c>
      <c r="Q542" s="51">
        <v>38883</v>
      </c>
      <c r="R542" s="36">
        <v>529.32000000000005</v>
      </c>
      <c r="S542" s="103">
        <f t="shared" si="210"/>
        <v>1506.6000000000001</v>
      </c>
      <c r="T542" s="38">
        <f t="shared" si="214"/>
        <v>1395</v>
      </c>
      <c r="U542" s="259">
        <v>0</v>
      </c>
      <c r="V542" s="39">
        <v>0.08</v>
      </c>
      <c r="W542" s="40">
        <v>44377</v>
      </c>
      <c r="X542" s="41">
        <f t="shared" si="211"/>
        <v>180</v>
      </c>
      <c r="Y542" s="42">
        <f t="shared" si="212"/>
        <v>15</v>
      </c>
    </row>
    <row r="543" spans="1:25" x14ac:dyDescent="0.2">
      <c r="A543" s="52"/>
      <c r="B543" s="43" t="s">
        <v>515</v>
      </c>
      <c r="C543" s="89" t="s">
        <v>201</v>
      </c>
      <c r="D543" s="213" t="s">
        <v>51</v>
      </c>
      <c r="E543" s="46">
        <v>39463</v>
      </c>
      <c r="F543" s="127">
        <v>1489.5684000000001</v>
      </c>
      <c r="G543" s="127">
        <v>0</v>
      </c>
      <c r="H543" s="190"/>
      <c r="I543" s="190">
        <f t="shared" si="208"/>
        <v>14895.684000000001</v>
      </c>
      <c r="J543" s="190">
        <f t="shared" si="209"/>
        <v>4085.6733257142855</v>
      </c>
      <c r="K543" s="191">
        <f t="shared" si="215"/>
        <v>3326.8258285714282</v>
      </c>
      <c r="L543" s="50"/>
      <c r="M543" s="473">
        <v>1476</v>
      </c>
      <c r="N543" s="87">
        <f t="shared" si="213"/>
        <v>1594.0800000000002</v>
      </c>
      <c r="O543" s="34">
        <v>70</v>
      </c>
      <c r="P543" s="34">
        <v>19.2</v>
      </c>
      <c r="Q543" s="51">
        <v>39463</v>
      </c>
      <c r="R543" s="36">
        <v>386.64</v>
      </c>
      <c r="S543" s="103">
        <f t="shared" si="210"/>
        <v>1594.0800000000002</v>
      </c>
      <c r="T543" s="38">
        <f t="shared" si="214"/>
        <v>1476</v>
      </c>
      <c r="U543" s="259">
        <v>0</v>
      </c>
      <c r="V543" s="39">
        <v>0.08</v>
      </c>
      <c r="W543" s="40">
        <v>44377</v>
      </c>
      <c r="X543" s="41">
        <f t="shared" si="211"/>
        <v>161</v>
      </c>
      <c r="Y543" s="42">
        <f t="shared" si="212"/>
        <v>13.416666666666666</v>
      </c>
    </row>
    <row r="544" spans="1:25" x14ac:dyDescent="0.2">
      <c r="A544" s="52"/>
      <c r="B544" s="104" t="s">
        <v>516</v>
      </c>
      <c r="C544" s="89" t="s">
        <v>201</v>
      </c>
      <c r="D544" s="45" t="s">
        <v>51</v>
      </c>
      <c r="E544" s="106">
        <v>33970</v>
      </c>
      <c r="F544" s="127">
        <v>1602.8172000000002</v>
      </c>
      <c r="G544" s="32">
        <v>0</v>
      </c>
      <c r="H544" s="190"/>
      <c r="I544" s="190">
        <f t="shared" si="208"/>
        <v>16028.172</v>
      </c>
      <c r="J544" s="190">
        <f t="shared" si="209"/>
        <v>4396.2986057142862</v>
      </c>
      <c r="K544" s="191">
        <f t="shared" si="215"/>
        <v>4502.6866285714286</v>
      </c>
      <c r="L544" s="31"/>
      <c r="M544" s="473">
        <v>1588</v>
      </c>
      <c r="N544" s="87">
        <f t="shared" si="213"/>
        <v>1715.0400000000002</v>
      </c>
      <c r="O544" s="34">
        <v>70</v>
      </c>
      <c r="P544" s="34">
        <v>19.2</v>
      </c>
      <c r="Q544" s="35">
        <v>33970</v>
      </c>
      <c r="R544" s="36">
        <v>877.5</v>
      </c>
      <c r="S544" s="103">
        <f t="shared" si="210"/>
        <v>1715.0400000000002</v>
      </c>
      <c r="T544" s="38">
        <f t="shared" si="214"/>
        <v>1588</v>
      </c>
      <c r="U544" s="259">
        <v>0</v>
      </c>
      <c r="V544" s="39">
        <v>0.08</v>
      </c>
      <c r="W544" s="40">
        <v>44377</v>
      </c>
      <c r="X544" s="41">
        <f t="shared" si="211"/>
        <v>341</v>
      </c>
      <c r="Y544" s="42">
        <f t="shared" si="212"/>
        <v>28.416666666666668</v>
      </c>
    </row>
    <row r="545" spans="1:25" x14ac:dyDescent="0.2">
      <c r="A545" s="52"/>
      <c r="B545" s="104" t="s">
        <v>517</v>
      </c>
      <c r="C545" s="89" t="s">
        <v>223</v>
      </c>
      <c r="D545" s="45" t="s">
        <v>51</v>
      </c>
      <c r="E545" s="106">
        <v>33970</v>
      </c>
      <c r="F545" s="127">
        <v>1483.7904000000003</v>
      </c>
      <c r="G545" s="32">
        <v>0</v>
      </c>
      <c r="H545" s="190"/>
      <c r="I545" s="190">
        <f t="shared" si="208"/>
        <v>14837.904000000004</v>
      </c>
      <c r="J545" s="190">
        <f t="shared" si="209"/>
        <v>4069.8250971428579</v>
      </c>
      <c r="K545" s="191">
        <f t="shared" si="215"/>
        <v>4298.6406857142865</v>
      </c>
      <c r="L545" s="31"/>
      <c r="M545" s="473">
        <v>1470</v>
      </c>
      <c r="N545" s="87">
        <f t="shared" si="213"/>
        <v>1587.6000000000001</v>
      </c>
      <c r="O545" s="34">
        <v>70</v>
      </c>
      <c r="P545" s="34">
        <v>19.2</v>
      </c>
      <c r="Q545" s="35">
        <v>33970</v>
      </c>
      <c r="R545" s="36">
        <v>877.5</v>
      </c>
      <c r="S545" s="103">
        <f t="shared" si="210"/>
        <v>1587.6000000000001</v>
      </c>
      <c r="T545" s="38">
        <f t="shared" si="214"/>
        <v>1470</v>
      </c>
      <c r="U545" s="259">
        <v>0</v>
      </c>
      <c r="V545" s="39">
        <v>0.08</v>
      </c>
      <c r="W545" s="40">
        <v>44377</v>
      </c>
      <c r="X545" s="41">
        <f t="shared" si="211"/>
        <v>341</v>
      </c>
      <c r="Y545" s="42">
        <f t="shared" si="212"/>
        <v>28.416666666666668</v>
      </c>
    </row>
    <row r="546" spans="1:25" x14ac:dyDescent="0.2">
      <c r="A546" s="52"/>
      <c r="B546" s="104" t="s">
        <v>518</v>
      </c>
      <c r="C546" s="89" t="s">
        <v>201</v>
      </c>
      <c r="D546" s="45" t="s">
        <v>51</v>
      </c>
      <c r="E546" s="106">
        <v>35065</v>
      </c>
      <c r="F546" s="127">
        <v>1600.5060000000001</v>
      </c>
      <c r="G546" s="32">
        <v>0</v>
      </c>
      <c r="H546" s="190"/>
      <c r="I546" s="190">
        <f t="shared" si="208"/>
        <v>16005.060000000001</v>
      </c>
      <c r="J546" s="190">
        <f t="shared" si="209"/>
        <v>4389.9593142857148</v>
      </c>
      <c r="K546" s="191">
        <f t="shared" si="215"/>
        <v>4118.3245714285722</v>
      </c>
      <c r="L546" s="31"/>
      <c r="M546" s="473">
        <v>1586</v>
      </c>
      <c r="N546" s="87">
        <f t="shared" si="213"/>
        <v>1712.88</v>
      </c>
      <c r="O546" s="34">
        <v>70</v>
      </c>
      <c r="P546" s="34">
        <v>19.2</v>
      </c>
      <c r="Q546" s="35">
        <v>35065</v>
      </c>
      <c r="R546" s="36">
        <v>687.3</v>
      </c>
      <c r="S546" s="103">
        <f t="shared" si="210"/>
        <v>1712.88</v>
      </c>
      <c r="T546" s="38">
        <f t="shared" si="214"/>
        <v>1586</v>
      </c>
      <c r="U546" s="259">
        <v>0</v>
      </c>
      <c r="V546" s="39">
        <v>0.08</v>
      </c>
      <c r="W546" s="40">
        <v>44377</v>
      </c>
      <c r="X546" s="41">
        <f t="shared" si="211"/>
        <v>305</v>
      </c>
      <c r="Y546" s="42">
        <f t="shared" si="212"/>
        <v>25.416666666666668</v>
      </c>
    </row>
    <row r="547" spans="1:25" x14ac:dyDescent="0.2">
      <c r="A547" s="52"/>
      <c r="B547" s="43" t="s">
        <v>519</v>
      </c>
      <c r="C547" s="89" t="s">
        <v>201</v>
      </c>
      <c r="D547" s="213" t="s">
        <v>51</v>
      </c>
      <c r="E547" s="46">
        <v>41965</v>
      </c>
      <c r="F547" s="127">
        <v>1523.0808000000002</v>
      </c>
      <c r="G547" s="127">
        <v>0</v>
      </c>
      <c r="H547" s="190"/>
      <c r="I547" s="190">
        <f t="shared" si="208"/>
        <v>15230.808000000001</v>
      </c>
      <c r="J547" s="190">
        <f t="shared" si="209"/>
        <v>4177.5930514285719</v>
      </c>
      <c r="K547" s="191">
        <f t="shared" si="215"/>
        <v>3281.3156571428572</v>
      </c>
      <c r="L547" s="50"/>
      <c r="M547" s="473">
        <v>1509</v>
      </c>
      <c r="N547" s="87">
        <f t="shared" si="213"/>
        <v>1629.72</v>
      </c>
      <c r="O547" s="34">
        <v>70</v>
      </c>
      <c r="P547" s="34">
        <v>19.2</v>
      </c>
      <c r="Q547" s="51">
        <v>41965</v>
      </c>
      <c r="R547" s="36">
        <v>335.16</v>
      </c>
      <c r="S547" s="103">
        <f t="shared" si="210"/>
        <v>1629.72</v>
      </c>
      <c r="T547" s="38">
        <f t="shared" si="214"/>
        <v>1509</v>
      </c>
      <c r="U547" s="259">
        <v>0</v>
      </c>
      <c r="V547" s="39">
        <v>0.08</v>
      </c>
      <c r="W547" s="40">
        <v>44377</v>
      </c>
      <c r="X547" s="41">
        <f t="shared" si="211"/>
        <v>79</v>
      </c>
      <c r="Y547" s="42">
        <f t="shared" si="212"/>
        <v>6.583333333333333</v>
      </c>
    </row>
    <row r="548" spans="1:25" x14ac:dyDescent="0.2">
      <c r="A548" s="52"/>
      <c r="B548" s="104" t="s">
        <v>520</v>
      </c>
      <c r="C548" s="89" t="s">
        <v>201</v>
      </c>
      <c r="D548" s="45" t="s">
        <v>51</v>
      </c>
      <c r="E548" s="106">
        <v>37412</v>
      </c>
      <c r="F548" s="127">
        <v>2018.8332000000003</v>
      </c>
      <c r="G548" s="32">
        <v>0</v>
      </c>
      <c r="H548" s="190"/>
      <c r="I548" s="190">
        <f t="shared" si="208"/>
        <v>20188.332000000002</v>
      </c>
      <c r="J548" s="190">
        <f t="shared" si="209"/>
        <v>5537.3710628571434</v>
      </c>
      <c r="K548" s="191">
        <f t="shared" si="215"/>
        <v>4519.4969142857144</v>
      </c>
      <c r="L548" s="31"/>
      <c r="M548" s="473">
        <v>2000</v>
      </c>
      <c r="N548" s="87">
        <f t="shared" si="213"/>
        <v>2160</v>
      </c>
      <c r="O548" s="34">
        <v>70</v>
      </c>
      <c r="P548" s="34">
        <v>19.2</v>
      </c>
      <c r="Q548" s="35">
        <v>37412</v>
      </c>
      <c r="R548" s="36">
        <v>529.32000000000005</v>
      </c>
      <c r="S548" s="103">
        <f t="shared" si="210"/>
        <v>2160</v>
      </c>
      <c r="T548" s="38">
        <f t="shared" si="214"/>
        <v>1999.9999999999998</v>
      </c>
      <c r="U548" s="259">
        <v>0</v>
      </c>
      <c r="V548" s="39">
        <v>0.08</v>
      </c>
      <c r="W548" s="40">
        <v>44377</v>
      </c>
      <c r="X548" s="41">
        <f t="shared" si="211"/>
        <v>228</v>
      </c>
      <c r="Y548" s="42">
        <f t="shared" si="212"/>
        <v>19</v>
      </c>
    </row>
    <row r="549" spans="1:25" x14ac:dyDescent="0.2">
      <c r="A549" s="52"/>
      <c r="B549" s="43" t="s">
        <v>521</v>
      </c>
      <c r="C549" s="89" t="s">
        <v>334</v>
      </c>
      <c r="D549" s="213" t="s">
        <v>30</v>
      </c>
      <c r="E549" s="46">
        <v>43225</v>
      </c>
      <c r="F549" s="127">
        <v>1959.8976000000002</v>
      </c>
      <c r="G549" s="127">
        <v>0</v>
      </c>
      <c r="H549" s="190"/>
      <c r="I549" s="190">
        <f t="shared" si="208"/>
        <v>19598.976000000002</v>
      </c>
      <c r="J549" s="190">
        <f t="shared" si="209"/>
        <v>4703.7542400000002</v>
      </c>
      <c r="K549" s="191"/>
      <c r="L549" s="50"/>
      <c r="M549" s="473">
        <v>1942</v>
      </c>
      <c r="N549" s="87">
        <f t="shared" si="213"/>
        <v>2097.36</v>
      </c>
      <c r="O549" s="34">
        <v>70</v>
      </c>
      <c r="P549" s="34">
        <v>16.8</v>
      </c>
      <c r="Q549" s="51">
        <v>43225</v>
      </c>
      <c r="R549" s="36">
        <v>0</v>
      </c>
      <c r="S549" s="103">
        <f t="shared" si="210"/>
        <v>2097.36</v>
      </c>
      <c r="T549" s="38">
        <f t="shared" si="214"/>
        <v>1942</v>
      </c>
      <c r="U549" s="259">
        <v>0</v>
      </c>
      <c r="V549" s="39">
        <v>0.08</v>
      </c>
      <c r="W549" s="40">
        <v>44377</v>
      </c>
      <c r="X549" s="41">
        <f t="shared" si="211"/>
        <v>37</v>
      </c>
      <c r="Y549" s="42">
        <f t="shared" si="212"/>
        <v>3.0833333333333335</v>
      </c>
    </row>
    <row r="550" spans="1:25" x14ac:dyDescent="0.2">
      <c r="A550" s="52"/>
      <c r="B550" s="43" t="s">
        <v>522</v>
      </c>
      <c r="C550" s="89" t="s">
        <v>201</v>
      </c>
      <c r="D550" s="213" t="s">
        <v>51</v>
      </c>
      <c r="E550" s="46">
        <v>37013</v>
      </c>
      <c r="F550" s="127">
        <v>1575.0828000000001</v>
      </c>
      <c r="G550" s="127">
        <v>0</v>
      </c>
      <c r="H550" s="190"/>
      <c r="I550" s="190">
        <f t="shared" si="208"/>
        <v>15750.828000000001</v>
      </c>
      <c r="J550" s="190">
        <f t="shared" si="209"/>
        <v>4320.2271085714292</v>
      </c>
      <c r="K550" s="191">
        <f t="shared" ref="K550:K558" si="216">F550/7*12+R550+R550</f>
        <v>4074.9019428571432</v>
      </c>
      <c r="L550" s="50"/>
      <c r="M550" s="473">
        <v>1560</v>
      </c>
      <c r="N550" s="87">
        <f t="shared" si="213"/>
        <v>1684.8000000000002</v>
      </c>
      <c r="O550" s="34">
        <v>70</v>
      </c>
      <c r="P550" s="34">
        <v>19.2</v>
      </c>
      <c r="Q550" s="51">
        <v>37013</v>
      </c>
      <c r="R550" s="36">
        <v>687.38</v>
      </c>
      <c r="S550" s="103">
        <f t="shared" si="210"/>
        <v>1684.8000000000002</v>
      </c>
      <c r="T550" s="38">
        <f t="shared" si="214"/>
        <v>1560</v>
      </c>
      <c r="U550" s="259">
        <v>0</v>
      </c>
      <c r="V550" s="39">
        <v>0.08</v>
      </c>
      <c r="W550" s="40">
        <v>44377</v>
      </c>
      <c r="X550" s="41">
        <f t="shared" si="211"/>
        <v>241</v>
      </c>
      <c r="Y550" s="42">
        <f t="shared" si="212"/>
        <v>20.083333333333332</v>
      </c>
    </row>
    <row r="551" spans="1:25" x14ac:dyDescent="0.2">
      <c r="A551" s="52"/>
      <c r="B551" s="43" t="s">
        <v>523</v>
      </c>
      <c r="C551" s="89" t="s">
        <v>201</v>
      </c>
      <c r="D551" s="213" t="s">
        <v>30</v>
      </c>
      <c r="E551" s="46">
        <v>39387</v>
      </c>
      <c r="F551" s="127">
        <v>1970.2980000000002</v>
      </c>
      <c r="G551" s="127">
        <v>0</v>
      </c>
      <c r="H551" s="190"/>
      <c r="I551" s="190">
        <f t="shared" si="208"/>
        <v>19702.98</v>
      </c>
      <c r="J551" s="190">
        <f t="shared" si="209"/>
        <v>5404.2459428571428</v>
      </c>
      <c r="K551" s="191">
        <f t="shared" si="216"/>
        <v>4150.9337142857139</v>
      </c>
      <c r="L551" s="50"/>
      <c r="M551" s="473">
        <v>1952</v>
      </c>
      <c r="N551" s="87">
        <f t="shared" si="213"/>
        <v>2108.1600000000003</v>
      </c>
      <c r="O551" s="34">
        <v>70</v>
      </c>
      <c r="P551" s="34">
        <v>19.2</v>
      </c>
      <c r="Q551" s="51">
        <v>39387</v>
      </c>
      <c r="R551" s="36">
        <v>386.64</v>
      </c>
      <c r="S551" s="103">
        <f t="shared" si="210"/>
        <v>2108.1600000000003</v>
      </c>
      <c r="T551" s="38">
        <f t="shared" si="214"/>
        <v>1952.0000000000002</v>
      </c>
      <c r="U551" s="259">
        <v>0</v>
      </c>
      <c r="V551" s="39">
        <v>0.08</v>
      </c>
      <c r="W551" s="40">
        <v>44377</v>
      </c>
      <c r="X551" s="41">
        <f t="shared" si="211"/>
        <v>163</v>
      </c>
      <c r="Y551" s="42">
        <f t="shared" si="212"/>
        <v>13.583333333333334</v>
      </c>
    </row>
    <row r="552" spans="1:25" x14ac:dyDescent="0.2">
      <c r="A552" s="52"/>
      <c r="B552" s="43" t="s">
        <v>524</v>
      </c>
      <c r="C552" s="89" t="s">
        <v>201</v>
      </c>
      <c r="D552" s="213" t="s">
        <v>51</v>
      </c>
      <c r="E552" s="46">
        <v>36726</v>
      </c>
      <c r="F552" s="127">
        <v>1575.0828000000001</v>
      </c>
      <c r="G552" s="127">
        <v>0</v>
      </c>
      <c r="H552" s="190"/>
      <c r="I552" s="190">
        <f t="shared" si="208"/>
        <v>15750.828000000001</v>
      </c>
      <c r="J552" s="190">
        <f t="shared" si="209"/>
        <v>4320.2271085714292</v>
      </c>
      <c r="K552" s="191">
        <f t="shared" si="216"/>
        <v>3758.7819428571433</v>
      </c>
      <c r="L552" s="50"/>
      <c r="M552" s="473">
        <v>1560</v>
      </c>
      <c r="N552" s="87">
        <f t="shared" si="213"/>
        <v>1684.8000000000002</v>
      </c>
      <c r="O552" s="34">
        <v>70</v>
      </c>
      <c r="P552" s="34">
        <v>19.2</v>
      </c>
      <c r="Q552" s="51">
        <v>36726</v>
      </c>
      <c r="R552" s="36">
        <v>529.32000000000005</v>
      </c>
      <c r="S552" s="103">
        <f t="shared" si="210"/>
        <v>1684.8000000000002</v>
      </c>
      <c r="T552" s="38">
        <f t="shared" si="214"/>
        <v>1560</v>
      </c>
      <c r="U552" s="259">
        <v>0</v>
      </c>
      <c r="V552" s="39">
        <v>0.08</v>
      </c>
      <c r="W552" s="40">
        <v>44377</v>
      </c>
      <c r="X552" s="41">
        <f t="shared" si="211"/>
        <v>251</v>
      </c>
      <c r="Y552" s="42">
        <f t="shared" si="212"/>
        <v>20.916666666666668</v>
      </c>
    </row>
    <row r="553" spans="1:25" x14ac:dyDescent="0.2">
      <c r="A553" s="52"/>
      <c r="B553" s="104" t="s">
        <v>525</v>
      </c>
      <c r="C553" s="89" t="s">
        <v>201</v>
      </c>
      <c r="D553" s="45" t="s">
        <v>51</v>
      </c>
      <c r="E553" s="106">
        <v>35310</v>
      </c>
      <c r="F553" s="127">
        <v>1599.3504000000003</v>
      </c>
      <c r="G553" s="32">
        <v>0</v>
      </c>
      <c r="H553" s="190"/>
      <c r="I553" s="190">
        <f t="shared" si="208"/>
        <v>15993.504000000003</v>
      </c>
      <c r="J553" s="190">
        <f t="shared" si="209"/>
        <v>4386.7896685714286</v>
      </c>
      <c r="K553" s="191">
        <f t="shared" si="216"/>
        <v>4116.3435428571438</v>
      </c>
      <c r="L553" s="31"/>
      <c r="M553" s="473">
        <v>1585</v>
      </c>
      <c r="N553" s="87">
        <f t="shared" si="213"/>
        <v>1711.8000000000002</v>
      </c>
      <c r="O553" s="34">
        <v>70</v>
      </c>
      <c r="P553" s="34">
        <v>19.2</v>
      </c>
      <c r="Q553" s="35">
        <v>35310</v>
      </c>
      <c r="R553" s="36">
        <v>687.3</v>
      </c>
      <c r="S553" s="103">
        <f t="shared" si="210"/>
        <v>1711.8000000000002</v>
      </c>
      <c r="T553" s="38">
        <f t="shared" si="214"/>
        <v>1585</v>
      </c>
      <c r="U553" s="259">
        <v>0</v>
      </c>
      <c r="V553" s="39">
        <v>0.08</v>
      </c>
      <c r="W553" s="40">
        <v>44377</v>
      </c>
      <c r="X553" s="41">
        <f t="shared" si="211"/>
        <v>297</v>
      </c>
      <c r="Y553" s="42">
        <f t="shared" si="212"/>
        <v>24.75</v>
      </c>
    </row>
    <row r="554" spans="1:25" x14ac:dyDescent="0.2">
      <c r="A554" s="52"/>
      <c r="B554" s="164" t="s">
        <v>526</v>
      </c>
      <c r="C554" s="89" t="s">
        <v>201</v>
      </c>
      <c r="D554" s="45" t="s">
        <v>51</v>
      </c>
      <c r="E554" s="46">
        <v>33604</v>
      </c>
      <c r="F554" s="127">
        <v>1599.3504000000003</v>
      </c>
      <c r="G554" s="32">
        <v>0</v>
      </c>
      <c r="H554" s="190"/>
      <c r="I554" s="190">
        <f t="shared" si="208"/>
        <v>15993.504000000003</v>
      </c>
      <c r="J554" s="190">
        <f t="shared" si="209"/>
        <v>4386.7896685714286</v>
      </c>
      <c r="K554" s="191">
        <f t="shared" si="216"/>
        <v>4496.7435428571434</v>
      </c>
      <c r="L554" s="50"/>
      <c r="M554" s="473">
        <v>1585</v>
      </c>
      <c r="N554" s="87">
        <f t="shared" si="213"/>
        <v>1711.8000000000002</v>
      </c>
      <c r="O554" s="34">
        <v>70</v>
      </c>
      <c r="P554" s="34">
        <v>19.2</v>
      </c>
      <c r="Q554" s="51">
        <v>33604</v>
      </c>
      <c r="R554" s="36">
        <v>877.5</v>
      </c>
      <c r="S554" s="103">
        <f t="shared" si="210"/>
        <v>1711.8000000000002</v>
      </c>
      <c r="T554" s="38">
        <f t="shared" si="214"/>
        <v>1585</v>
      </c>
      <c r="U554" s="259">
        <v>0</v>
      </c>
      <c r="V554" s="39">
        <v>0.08</v>
      </c>
      <c r="W554" s="40">
        <v>44377</v>
      </c>
      <c r="X554" s="41">
        <f t="shared" si="211"/>
        <v>353</v>
      </c>
      <c r="Y554" s="42">
        <f t="shared" si="212"/>
        <v>29.416666666666668</v>
      </c>
    </row>
    <row r="555" spans="1:25" x14ac:dyDescent="0.2">
      <c r="A555" s="52"/>
      <c r="B555" s="43" t="s">
        <v>527</v>
      </c>
      <c r="C555" s="89" t="s">
        <v>509</v>
      </c>
      <c r="D555" s="45" t="s">
        <v>51</v>
      </c>
      <c r="E555" s="46">
        <v>35992</v>
      </c>
      <c r="F555" s="127">
        <v>1612.0620000000001</v>
      </c>
      <c r="G555" s="32">
        <v>0</v>
      </c>
      <c r="H555" s="190"/>
      <c r="I555" s="190">
        <f t="shared" si="208"/>
        <v>16120.620000000003</v>
      </c>
      <c r="J555" s="190">
        <f t="shared" si="209"/>
        <v>4421.6557714285718</v>
      </c>
      <c r="K555" s="191">
        <f t="shared" si="216"/>
        <v>4138.134857142858</v>
      </c>
      <c r="L555" s="50"/>
      <c r="M555" s="473">
        <v>1598</v>
      </c>
      <c r="N555" s="87">
        <f t="shared" si="213"/>
        <v>1725.8400000000001</v>
      </c>
      <c r="O555" s="34">
        <v>70</v>
      </c>
      <c r="P555" s="34">
        <v>19.2</v>
      </c>
      <c r="Q555" s="51">
        <v>35992</v>
      </c>
      <c r="R555" s="36">
        <v>687.3</v>
      </c>
      <c r="S555" s="103">
        <f t="shared" si="210"/>
        <v>1725.8400000000001</v>
      </c>
      <c r="T555" s="38">
        <f t="shared" si="214"/>
        <v>1598</v>
      </c>
      <c r="U555" s="259">
        <v>0</v>
      </c>
      <c r="V555" s="39">
        <v>0.08</v>
      </c>
      <c r="W555" s="40">
        <v>44377</v>
      </c>
      <c r="X555" s="41">
        <f t="shared" si="211"/>
        <v>275</v>
      </c>
      <c r="Y555" s="42">
        <f t="shared" si="212"/>
        <v>22.916666666666668</v>
      </c>
    </row>
    <row r="556" spans="1:25" x14ac:dyDescent="0.2">
      <c r="A556" s="52"/>
      <c r="B556" s="43" t="s">
        <v>528</v>
      </c>
      <c r="C556" s="89" t="s">
        <v>529</v>
      </c>
      <c r="D556" s="45" t="s">
        <v>51</v>
      </c>
      <c r="E556" s="46">
        <v>35284</v>
      </c>
      <c r="F556" s="127">
        <v>1984.1652000000001</v>
      </c>
      <c r="G556" s="32">
        <v>0</v>
      </c>
      <c r="H556" s="190">
        <v>110</v>
      </c>
      <c r="I556" s="190">
        <f t="shared" si="208"/>
        <v>19841.652000000002</v>
      </c>
      <c r="J556" s="190">
        <f t="shared" si="209"/>
        <v>5442.2816914285713</v>
      </c>
      <c r="K556" s="191">
        <f t="shared" si="216"/>
        <v>4776.0260571428571</v>
      </c>
      <c r="L556" s="50"/>
      <c r="M556" s="473">
        <v>1966</v>
      </c>
      <c r="N556" s="87">
        <f t="shared" si="213"/>
        <v>2123.2800000000002</v>
      </c>
      <c r="O556" s="34">
        <v>70</v>
      </c>
      <c r="P556" s="34">
        <v>19.2</v>
      </c>
      <c r="Q556" s="51">
        <v>35284</v>
      </c>
      <c r="R556" s="36">
        <v>687.3</v>
      </c>
      <c r="S556" s="103">
        <f t="shared" si="210"/>
        <v>2123.2800000000002</v>
      </c>
      <c r="T556" s="38">
        <f t="shared" si="214"/>
        <v>1966</v>
      </c>
      <c r="U556" s="259">
        <v>0</v>
      </c>
      <c r="V556" s="39">
        <v>0.08</v>
      </c>
      <c r="W556" s="40">
        <v>44377</v>
      </c>
      <c r="X556" s="41">
        <f t="shared" si="211"/>
        <v>298</v>
      </c>
      <c r="Y556" s="42">
        <f t="shared" si="212"/>
        <v>24.833333333333332</v>
      </c>
    </row>
    <row r="557" spans="1:25" x14ac:dyDescent="0.2">
      <c r="A557" s="52"/>
      <c r="B557" s="43" t="s">
        <v>530</v>
      </c>
      <c r="C557" s="89" t="s">
        <v>223</v>
      </c>
      <c r="D557" s="45" t="s">
        <v>51</v>
      </c>
      <c r="E557" s="46">
        <v>36386</v>
      </c>
      <c r="F557" s="127">
        <v>1497.6576000000002</v>
      </c>
      <c r="G557" s="32">
        <v>0</v>
      </c>
      <c r="H557" s="190"/>
      <c r="I557" s="190">
        <f t="shared" si="208"/>
        <v>14976.576000000001</v>
      </c>
      <c r="J557" s="190">
        <f t="shared" si="209"/>
        <v>4107.8608457142864</v>
      </c>
      <c r="K557" s="191">
        <f t="shared" si="216"/>
        <v>3942.0130285714295</v>
      </c>
      <c r="L557" s="50"/>
      <c r="M557" s="473">
        <v>1484</v>
      </c>
      <c r="N557" s="87">
        <f t="shared" si="213"/>
        <v>1602.72</v>
      </c>
      <c r="O557" s="34">
        <v>70</v>
      </c>
      <c r="P557" s="34">
        <v>19.2</v>
      </c>
      <c r="Q557" s="51">
        <v>36386</v>
      </c>
      <c r="R557" s="36">
        <v>687.3</v>
      </c>
      <c r="S557" s="103">
        <f t="shared" si="210"/>
        <v>1602.72</v>
      </c>
      <c r="T557" s="38">
        <f t="shared" si="214"/>
        <v>1484</v>
      </c>
      <c r="U557" s="259">
        <v>0</v>
      </c>
      <c r="V557" s="39">
        <v>0.08</v>
      </c>
      <c r="W557" s="40">
        <v>44377</v>
      </c>
      <c r="X557" s="41">
        <f t="shared" si="211"/>
        <v>262</v>
      </c>
      <c r="Y557" s="42">
        <f t="shared" si="212"/>
        <v>21.833333333333332</v>
      </c>
    </row>
    <row r="558" spans="1:25" ht="13.5" thickBot="1" x14ac:dyDescent="0.25">
      <c r="A558" s="52"/>
      <c r="B558" s="53" t="s">
        <v>531</v>
      </c>
      <c r="C558" s="93" t="s">
        <v>201</v>
      </c>
      <c r="D558" s="55" t="s">
        <v>51</v>
      </c>
      <c r="E558" s="184">
        <v>35713</v>
      </c>
      <c r="F558" s="384">
        <v>1599.3504000000003</v>
      </c>
      <c r="G558" s="385">
        <v>0</v>
      </c>
      <c r="H558" s="385"/>
      <c r="I558" s="386">
        <f t="shared" si="208"/>
        <v>15993.504000000003</v>
      </c>
      <c r="J558" s="386">
        <f t="shared" si="209"/>
        <v>4386.7896685714286</v>
      </c>
      <c r="K558" s="387">
        <f t="shared" si="216"/>
        <v>4116.3435428571438</v>
      </c>
      <c r="L558" s="50"/>
      <c r="M558" s="474">
        <v>1585</v>
      </c>
      <c r="N558" s="87">
        <f t="shared" si="213"/>
        <v>1711.8000000000002</v>
      </c>
      <c r="O558" s="34">
        <v>70</v>
      </c>
      <c r="P558" s="34">
        <v>19.2</v>
      </c>
      <c r="Q558" s="51">
        <v>35713</v>
      </c>
      <c r="R558" s="36">
        <v>687.3</v>
      </c>
      <c r="S558" s="103">
        <f t="shared" si="210"/>
        <v>1711.8000000000002</v>
      </c>
      <c r="T558" s="38">
        <f t="shared" si="214"/>
        <v>1585</v>
      </c>
      <c r="U558" s="259">
        <v>0</v>
      </c>
      <c r="V558" s="39">
        <v>0.08</v>
      </c>
      <c r="W558" s="40">
        <v>44377</v>
      </c>
      <c r="X558" s="41">
        <f t="shared" si="211"/>
        <v>284</v>
      </c>
      <c r="Y558" s="42">
        <f t="shared" si="212"/>
        <v>23.666666666666668</v>
      </c>
    </row>
    <row r="559" spans="1:25" ht="13.5" thickBot="1" x14ac:dyDescent="0.25">
      <c r="A559" s="52"/>
      <c r="B559" s="227"/>
      <c r="C559" s="110"/>
      <c r="D559" s="115"/>
      <c r="E559" s="206"/>
      <c r="F559" s="230"/>
      <c r="G559" s="230"/>
      <c r="H559" s="228"/>
      <c r="I559" s="228"/>
      <c r="J559" s="228"/>
      <c r="K559" s="114"/>
      <c r="L559" s="50"/>
      <c r="M559" s="192"/>
      <c r="N559" s="64"/>
      <c r="Q559" s="206"/>
      <c r="S559" s="84"/>
      <c r="V559" s="66"/>
      <c r="W559" s="67"/>
      <c r="X559" s="68"/>
    </row>
    <row r="560" spans="1:25" ht="13.5" thickBot="1" x14ac:dyDescent="0.25">
      <c r="B560" s="69" t="s">
        <v>39</v>
      </c>
      <c r="C560" s="69" t="s">
        <v>40</v>
      </c>
      <c r="D560" s="70"/>
      <c r="E560" s="362" t="s">
        <v>532</v>
      </c>
      <c r="F560" s="231">
        <f t="shared" ref="F560:K560" si="217">SUM(F529:F558)</f>
        <v>56345.835600000028</v>
      </c>
      <c r="G560" s="231">
        <f t="shared" si="217"/>
        <v>0</v>
      </c>
      <c r="H560" s="231">
        <f t="shared" si="217"/>
        <v>260</v>
      </c>
      <c r="I560" s="231">
        <f t="shared" si="217"/>
        <v>563458.35600000003</v>
      </c>
      <c r="J560" s="231">
        <f t="shared" si="217"/>
        <v>148287.38317714285</v>
      </c>
      <c r="K560" s="388">
        <f t="shared" si="217"/>
        <v>103570.5410285714</v>
      </c>
      <c r="L560" s="73"/>
      <c r="M560" s="5" t="s">
        <v>42</v>
      </c>
      <c r="N560" s="64"/>
      <c r="Q560" s="111"/>
      <c r="S560" s="84"/>
      <c r="V560" s="66"/>
      <c r="W560" s="67"/>
      <c r="X560" s="68"/>
    </row>
    <row r="561" spans="1:25" ht="19.5" customHeight="1" thickBot="1" x14ac:dyDescent="0.25">
      <c r="B561" s="69" t="s">
        <v>43</v>
      </c>
      <c r="C561" s="69" t="s">
        <v>44</v>
      </c>
      <c r="E561" s="232" t="s">
        <v>46</v>
      </c>
      <c r="F561" s="233">
        <f>F560/7*365</f>
        <v>2938032.8562857155</v>
      </c>
      <c r="G561" s="233">
        <f>+G560*6</f>
        <v>0</v>
      </c>
      <c r="H561" s="233">
        <f>H560/7*52</f>
        <v>1931.4285714285716</v>
      </c>
      <c r="I561" s="233">
        <f>I560</f>
        <v>563458.35600000003</v>
      </c>
      <c r="J561" s="233">
        <f>J560</f>
        <v>148287.38317714285</v>
      </c>
      <c r="K561" s="389">
        <f>K560</f>
        <v>103570.5410285714</v>
      </c>
      <c r="L561" s="73"/>
      <c r="M561" s="77">
        <f>SUM(F561:K561)</f>
        <v>3755280.5650628586</v>
      </c>
      <c r="N561" s="78"/>
      <c r="O561" s="80"/>
      <c r="P561" s="80"/>
      <c r="Q561" s="126"/>
      <c r="R561" s="81">
        <f>SUM(R529:R560)</f>
        <v>13649.479999999996</v>
      </c>
      <c r="S561" s="77">
        <f>M561*(1+V561)</f>
        <v>4055703.0102678877</v>
      </c>
      <c r="T561" s="77"/>
      <c r="U561" s="177">
        <f>SUM(U529:U560)</f>
        <v>0</v>
      </c>
      <c r="V561" s="82">
        <v>0.08</v>
      </c>
      <c r="W561" s="83"/>
      <c r="X561" s="178"/>
      <c r="Y561" s="179"/>
    </row>
    <row r="562" spans="1:25" x14ac:dyDescent="0.2">
      <c r="B562" s="69"/>
      <c r="N562" s="64"/>
      <c r="Q562" s="383"/>
      <c r="S562" s="84"/>
      <c r="V562" s="66"/>
      <c r="W562" s="67"/>
      <c r="X562" s="68"/>
    </row>
    <row r="563" spans="1:25" ht="15" x14ac:dyDescent="0.25">
      <c r="B563" s="13"/>
      <c r="C563" s="13"/>
      <c r="D563" s="13" t="s">
        <v>639</v>
      </c>
      <c r="E563" s="13"/>
      <c r="F563" s="13"/>
      <c r="G563" s="13"/>
      <c r="H563" s="13"/>
      <c r="I563" s="14"/>
      <c r="J563" s="13"/>
      <c r="K563" s="13"/>
      <c r="L563" s="15"/>
      <c r="N563" s="64"/>
      <c r="Q563" s="206"/>
      <c r="S563" s="84"/>
      <c r="V563" s="66"/>
      <c r="W563" s="67"/>
      <c r="X563" s="68"/>
    </row>
    <row r="564" spans="1:25" ht="15" x14ac:dyDescent="0.25">
      <c r="B564" s="16" t="s">
        <v>4</v>
      </c>
      <c r="C564" s="16"/>
      <c r="D564" s="13" t="s">
        <v>533</v>
      </c>
      <c r="E564" s="13"/>
      <c r="F564" s="14"/>
      <c r="G564" s="14"/>
      <c r="H564" s="476"/>
      <c r="I564" s="476"/>
      <c r="J564" s="14"/>
      <c r="K564" s="17"/>
      <c r="L564" s="18"/>
      <c r="N564" s="64"/>
      <c r="Q564" s="206"/>
      <c r="S564" s="84"/>
      <c r="V564" s="66"/>
      <c r="W564" s="67"/>
      <c r="X564" s="68"/>
    </row>
    <row r="565" spans="1:25" ht="14.25" thickBot="1" x14ac:dyDescent="0.25">
      <c r="B565" s="19"/>
      <c r="C565" s="19"/>
      <c r="D565" s="19"/>
      <c r="E565" s="19"/>
      <c r="F565" s="20"/>
      <c r="G565" s="20"/>
      <c r="H565" s="20"/>
      <c r="I565" s="20"/>
      <c r="J565" s="20"/>
      <c r="K565" s="22"/>
      <c r="L565" s="19"/>
      <c r="N565" s="64"/>
      <c r="Q565" s="206"/>
      <c r="S565" s="84"/>
      <c r="V565" s="66"/>
      <c r="W565" s="67"/>
      <c r="X565" s="68"/>
    </row>
    <row r="566" spans="1:25" ht="12.75" customHeight="1" x14ac:dyDescent="0.2">
      <c r="B566" s="503" t="s">
        <v>6</v>
      </c>
      <c r="C566" s="499" t="s">
        <v>7</v>
      </c>
      <c r="D566" s="499" t="s">
        <v>8</v>
      </c>
      <c r="E566" s="499" t="s">
        <v>9</v>
      </c>
      <c r="F566" s="507" t="s">
        <v>340</v>
      </c>
      <c r="G566" s="483" t="s">
        <v>11</v>
      </c>
      <c r="H566" s="483" t="s">
        <v>12</v>
      </c>
      <c r="I566" s="499" t="s">
        <v>13</v>
      </c>
      <c r="J566" s="511" t="s">
        <v>14</v>
      </c>
      <c r="K566" s="513" t="s">
        <v>15</v>
      </c>
      <c r="L566" s="23"/>
      <c r="M566" s="495" t="s">
        <v>16</v>
      </c>
      <c r="N566" s="495" t="s">
        <v>17</v>
      </c>
      <c r="O566" s="489" t="s">
        <v>18</v>
      </c>
      <c r="P566" s="489" t="s">
        <v>19</v>
      </c>
      <c r="Q566" s="489" t="s">
        <v>20</v>
      </c>
      <c r="R566" s="490" t="s">
        <v>21</v>
      </c>
      <c r="S566" s="495" t="s">
        <v>22</v>
      </c>
      <c r="T566" s="495" t="s">
        <v>16</v>
      </c>
      <c r="U566" s="498" t="s">
        <v>23</v>
      </c>
      <c r="V566" s="498" t="s">
        <v>24</v>
      </c>
      <c r="W566" s="489" t="s">
        <v>25</v>
      </c>
      <c r="X566" s="489" t="s">
        <v>26</v>
      </c>
      <c r="Y566" s="497" t="s">
        <v>27</v>
      </c>
    </row>
    <row r="567" spans="1:25" ht="13.5" customHeight="1" thickBot="1" x14ac:dyDescent="0.25">
      <c r="B567" s="504"/>
      <c r="C567" s="500"/>
      <c r="D567" s="500"/>
      <c r="E567" s="500"/>
      <c r="F567" s="508"/>
      <c r="G567" s="484"/>
      <c r="H567" s="484"/>
      <c r="I567" s="500"/>
      <c r="J567" s="512"/>
      <c r="K567" s="514"/>
      <c r="L567" s="23"/>
      <c r="M567" s="495"/>
      <c r="N567" s="495"/>
      <c r="O567" s="489"/>
      <c r="P567" s="489"/>
      <c r="Q567" s="489"/>
      <c r="R567" s="490"/>
      <c r="S567" s="495"/>
      <c r="T567" s="495"/>
      <c r="U567" s="498"/>
      <c r="V567" s="498"/>
      <c r="W567" s="489"/>
      <c r="X567" s="489"/>
      <c r="Y567" s="497"/>
    </row>
    <row r="568" spans="1:25" ht="13.5" thickBot="1" x14ac:dyDescent="0.25">
      <c r="D568" s="6"/>
      <c r="I568" s="98"/>
      <c r="J568" s="98"/>
      <c r="K568" s="180"/>
      <c r="N568" s="64"/>
      <c r="X568" s="1"/>
      <c r="Y568" s="1"/>
    </row>
    <row r="569" spans="1:25" ht="12.75" customHeight="1" x14ac:dyDescent="0.2">
      <c r="A569" s="52"/>
      <c r="B569" s="117" t="s">
        <v>534</v>
      </c>
      <c r="C569" s="390" t="s">
        <v>535</v>
      </c>
      <c r="D569" s="27" t="s">
        <v>30</v>
      </c>
      <c r="E569" s="118">
        <v>43519</v>
      </c>
      <c r="F569" s="29">
        <v>1650.1968000000002</v>
      </c>
      <c r="G569" s="85">
        <v>0</v>
      </c>
      <c r="H569" s="29"/>
      <c r="I569" s="29">
        <f t="shared" ref="I569:I603" si="218">F569/7*O569</f>
        <v>16501.968000000001</v>
      </c>
      <c r="J569" s="29">
        <f t="shared" ref="J569:J603" si="219">F569/7*P569</f>
        <v>3394.6905600000005</v>
      </c>
      <c r="K569" s="30"/>
      <c r="L569" s="337"/>
      <c r="M569" s="462">
        <v>1527.96</v>
      </c>
      <c r="N569" s="87">
        <f>M569*(1+8%)</f>
        <v>1650.1968000000002</v>
      </c>
      <c r="O569" s="34">
        <v>70</v>
      </c>
      <c r="P569" s="34">
        <v>14.4</v>
      </c>
      <c r="Q569" s="51">
        <v>43519</v>
      </c>
      <c r="R569" s="36">
        <v>0</v>
      </c>
      <c r="S569" s="103">
        <f t="shared" ref="S569:S603" si="220">M569*(1+V569)</f>
        <v>1650.1968000000002</v>
      </c>
      <c r="T569" s="38">
        <f>S569/1.08</f>
        <v>1527.96</v>
      </c>
      <c r="U569" s="259">
        <v>0</v>
      </c>
      <c r="V569" s="39">
        <v>0.08</v>
      </c>
      <c r="W569" s="40">
        <v>44377</v>
      </c>
      <c r="X569" s="41">
        <f t="shared" ref="X569:X603" si="221">(YEAR(W569)-YEAR(E569))*12+MONTH(W569)-MONTH(E569)</f>
        <v>28</v>
      </c>
      <c r="Y569" s="42">
        <f t="shared" ref="Y569:Y603" si="222">X569/12</f>
        <v>2.3333333333333335</v>
      </c>
    </row>
    <row r="570" spans="1:25" x14ac:dyDescent="0.2">
      <c r="A570" s="52"/>
      <c r="B570" s="88" t="s">
        <v>536</v>
      </c>
      <c r="C570" s="89" t="s">
        <v>201</v>
      </c>
      <c r="D570" s="90" t="s">
        <v>51</v>
      </c>
      <c r="E570" s="91">
        <v>37755</v>
      </c>
      <c r="F570" s="124">
        <v>1685.3385960000003</v>
      </c>
      <c r="G570" s="124">
        <v>0</v>
      </c>
      <c r="H570" s="124"/>
      <c r="I570" s="124">
        <f t="shared" si="218"/>
        <v>16853.385960000003</v>
      </c>
      <c r="J570" s="124">
        <f t="shared" si="219"/>
        <v>4622.6430061714291</v>
      </c>
      <c r="K570" s="125">
        <f>F570/7*12+R570+R570</f>
        <v>3947.7918788571437</v>
      </c>
      <c r="L570" s="300"/>
      <c r="M570" s="462">
        <v>1560.4987000000001</v>
      </c>
      <c r="N570" s="87">
        <f t="shared" ref="N570:N603" si="223">M570*(1+8%)</f>
        <v>1685.3385960000003</v>
      </c>
      <c r="O570" s="34">
        <v>70</v>
      </c>
      <c r="P570" s="34">
        <v>19.2</v>
      </c>
      <c r="Q570" s="35">
        <v>37755</v>
      </c>
      <c r="R570" s="36">
        <v>529.32000000000005</v>
      </c>
      <c r="S570" s="103">
        <f t="shared" si="220"/>
        <v>1685.3385960000003</v>
      </c>
      <c r="T570" s="38">
        <f t="shared" ref="T570:T603" si="224">S570/1.08</f>
        <v>1560.4987000000001</v>
      </c>
      <c r="U570" s="259">
        <v>0</v>
      </c>
      <c r="V570" s="39">
        <v>0.08</v>
      </c>
      <c r="W570" s="40">
        <v>44377</v>
      </c>
      <c r="X570" s="41">
        <f t="shared" si="221"/>
        <v>217</v>
      </c>
      <c r="Y570" s="42">
        <f t="shared" si="222"/>
        <v>18.083333333333332</v>
      </c>
    </row>
    <row r="571" spans="1:25" x14ac:dyDescent="0.2">
      <c r="A571" s="52"/>
      <c r="B571" s="88" t="s">
        <v>537</v>
      </c>
      <c r="C571" s="89" t="s">
        <v>201</v>
      </c>
      <c r="D571" s="90" t="s">
        <v>51</v>
      </c>
      <c r="E571" s="91">
        <v>37552</v>
      </c>
      <c r="F571" s="124">
        <v>1507.2837480000003</v>
      </c>
      <c r="G571" s="124">
        <v>0</v>
      </c>
      <c r="H571" s="124"/>
      <c r="I571" s="124">
        <f t="shared" si="218"/>
        <v>15072.837480000002</v>
      </c>
      <c r="J571" s="124">
        <f t="shared" si="219"/>
        <v>4134.2639945142864</v>
      </c>
      <c r="K571" s="125">
        <f>F571/7*12+R571+R571</f>
        <v>3642.5549965714295</v>
      </c>
      <c r="L571" s="391"/>
      <c r="M571" s="462">
        <v>1395</v>
      </c>
      <c r="N571" s="87">
        <f t="shared" si="223"/>
        <v>1506.6000000000001</v>
      </c>
      <c r="O571" s="34">
        <v>70</v>
      </c>
      <c r="P571" s="34">
        <v>19.2</v>
      </c>
      <c r="Q571" s="35">
        <v>37552</v>
      </c>
      <c r="R571" s="36">
        <v>529.32000000000005</v>
      </c>
      <c r="S571" s="103">
        <f t="shared" si="220"/>
        <v>1506.6000000000001</v>
      </c>
      <c r="T571" s="38">
        <f t="shared" si="224"/>
        <v>1395</v>
      </c>
      <c r="U571" s="259">
        <v>0</v>
      </c>
      <c r="V571" s="39">
        <v>0.08</v>
      </c>
      <c r="W571" s="40">
        <v>44377</v>
      </c>
      <c r="X571" s="41">
        <f t="shared" si="221"/>
        <v>224</v>
      </c>
      <c r="Y571" s="42">
        <f t="shared" si="222"/>
        <v>18.666666666666668</v>
      </c>
    </row>
    <row r="572" spans="1:25" x14ac:dyDescent="0.2">
      <c r="A572" s="52"/>
      <c r="B572" s="88" t="s">
        <v>538</v>
      </c>
      <c r="C572" s="89" t="s">
        <v>539</v>
      </c>
      <c r="D572" s="90" t="s">
        <v>30</v>
      </c>
      <c r="E572" s="91">
        <v>43325</v>
      </c>
      <c r="F572" s="124">
        <v>1745.9267040000004</v>
      </c>
      <c r="G572" s="124">
        <v>0</v>
      </c>
      <c r="H572" s="124"/>
      <c r="I572" s="124">
        <f t="shared" si="218"/>
        <v>17459.267040000002</v>
      </c>
      <c r="J572" s="124">
        <f t="shared" si="219"/>
        <v>3591.6206482285725</v>
      </c>
      <c r="K572" s="125"/>
      <c r="L572" s="391"/>
      <c r="M572" s="462">
        <v>1616.5988000000002</v>
      </c>
      <c r="N572" s="87">
        <f t="shared" si="223"/>
        <v>1745.9267040000004</v>
      </c>
      <c r="O572" s="34">
        <v>70</v>
      </c>
      <c r="P572" s="34">
        <v>14.4</v>
      </c>
      <c r="Q572" s="35">
        <v>43325</v>
      </c>
      <c r="R572" s="36">
        <v>0</v>
      </c>
      <c r="S572" s="103">
        <f t="shared" si="220"/>
        <v>1745.9267040000004</v>
      </c>
      <c r="T572" s="38">
        <f t="shared" si="224"/>
        <v>1616.5988000000002</v>
      </c>
      <c r="U572" s="259">
        <v>0</v>
      </c>
      <c r="V572" s="39">
        <v>0.08</v>
      </c>
      <c r="W572" s="40">
        <v>44377</v>
      </c>
      <c r="X572" s="41">
        <f t="shared" si="221"/>
        <v>34</v>
      </c>
      <c r="Y572" s="42">
        <f t="shared" si="222"/>
        <v>2.8333333333333335</v>
      </c>
    </row>
    <row r="573" spans="1:25" x14ac:dyDescent="0.2">
      <c r="A573" s="52"/>
      <c r="B573" s="164" t="s">
        <v>540</v>
      </c>
      <c r="C573" s="89" t="s">
        <v>201</v>
      </c>
      <c r="D573" s="90" t="s">
        <v>30</v>
      </c>
      <c r="E573" s="46">
        <v>37194</v>
      </c>
      <c r="F573" s="124">
        <v>1507.2837480000003</v>
      </c>
      <c r="G573" s="124">
        <v>0</v>
      </c>
      <c r="H573" s="124"/>
      <c r="I573" s="124">
        <f t="shared" si="218"/>
        <v>15072.837480000002</v>
      </c>
      <c r="J573" s="124">
        <f t="shared" si="219"/>
        <v>4134.2639945142864</v>
      </c>
      <c r="K573" s="125">
        <f>F573/7*12+R573+R573</f>
        <v>3642.5549965714295</v>
      </c>
      <c r="L573" s="391"/>
      <c r="M573" s="462">
        <v>1395</v>
      </c>
      <c r="N573" s="87">
        <f t="shared" si="223"/>
        <v>1506.6000000000001</v>
      </c>
      <c r="O573" s="34">
        <v>70</v>
      </c>
      <c r="P573" s="34">
        <v>19.2</v>
      </c>
      <c r="Q573" s="51">
        <v>37194</v>
      </c>
      <c r="R573" s="36">
        <v>529.32000000000005</v>
      </c>
      <c r="S573" s="103">
        <f t="shared" si="220"/>
        <v>1506.6000000000001</v>
      </c>
      <c r="T573" s="38">
        <f t="shared" si="224"/>
        <v>1395</v>
      </c>
      <c r="U573" s="259">
        <v>0</v>
      </c>
      <c r="V573" s="39">
        <v>0.08</v>
      </c>
      <c r="W573" s="40">
        <v>44377</v>
      </c>
      <c r="X573" s="41">
        <f t="shared" si="221"/>
        <v>236</v>
      </c>
      <c r="Y573" s="42">
        <f t="shared" si="222"/>
        <v>19.666666666666668</v>
      </c>
    </row>
    <row r="574" spans="1:25" x14ac:dyDescent="0.2">
      <c r="A574" s="52"/>
      <c r="B574" s="43" t="s">
        <v>541</v>
      </c>
      <c r="C574" s="89" t="s">
        <v>201</v>
      </c>
      <c r="D574" s="90" t="s">
        <v>30</v>
      </c>
      <c r="E574" s="46">
        <v>36598</v>
      </c>
      <c r="F574" s="124">
        <v>2406.2134320000005</v>
      </c>
      <c r="G574" s="124">
        <v>0</v>
      </c>
      <c r="H574" s="124"/>
      <c r="I574" s="124">
        <f t="shared" si="218"/>
        <v>24062.134320000005</v>
      </c>
      <c r="J574" s="124">
        <f t="shared" si="219"/>
        <v>6599.8996992000011</v>
      </c>
      <c r="K574" s="125">
        <f>F574/7*12+R574+R574</f>
        <v>5499.5373120000013</v>
      </c>
      <c r="L574" s="391"/>
      <c r="M574" s="462">
        <v>2227.9754000000003</v>
      </c>
      <c r="N574" s="87">
        <f t="shared" si="223"/>
        <v>2406.2134320000005</v>
      </c>
      <c r="O574" s="34">
        <v>70</v>
      </c>
      <c r="P574" s="34">
        <v>19.2</v>
      </c>
      <c r="Q574" s="51">
        <v>36598</v>
      </c>
      <c r="R574" s="36">
        <v>687.3</v>
      </c>
      <c r="S574" s="103">
        <f t="shared" si="220"/>
        <v>2406.2134320000005</v>
      </c>
      <c r="T574" s="38">
        <f t="shared" si="224"/>
        <v>2227.9754000000003</v>
      </c>
      <c r="U574" s="259">
        <v>0</v>
      </c>
      <c r="V574" s="39">
        <v>0.08</v>
      </c>
      <c r="W574" s="40">
        <v>44377</v>
      </c>
      <c r="X574" s="41">
        <f t="shared" si="221"/>
        <v>255</v>
      </c>
      <c r="Y574" s="42">
        <f t="shared" si="222"/>
        <v>21.25</v>
      </c>
    </row>
    <row r="575" spans="1:25" x14ac:dyDescent="0.2">
      <c r="A575" s="52"/>
      <c r="B575" s="43" t="s">
        <v>542</v>
      </c>
      <c r="C575" s="89" t="s">
        <v>509</v>
      </c>
      <c r="D575" s="90" t="s">
        <v>30</v>
      </c>
      <c r="E575" s="46">
        <v>43739</v>
      </c>
      <c r="F575" s="124">
        <v>1814.4</v>
      </c>
      <c r="G575" s="124">
        <v>0</v>
      </c>
      <c r="H575" s="124"/>
      <c r="I575" s="124">
        <f t="shared" si="218"/>
        <v>18144</v>
      </c>
      <c r="J575" s="124">
        <f t="shared" si="219"/>
        <v>3732.48</v>
      </c>
      <c r="K575" s="125">
        <v>0</v>
      </c>
      <c r="L575" s="391"/>
      <c r="M575" s="462">
        <v>1798</v>
      </c>
      <c r="N575" s="87">
        <f t="shared" si="223"/>
        <v>1941.8400000000001</v>
      </c>
      <c r="O575" s="34">
        <v>70</v>
      </c>
      <c r="P575" s="34">
        <v>14.4</v>
      </c>
      <c r="Q575" s="51">
        <v>43739</v>
      </c>
      <c r="R575" s="36">
        <v>0</v>
      </c>
      <c r="S575" s="103">
        <f t="shared" si="220"/>
        <v>1941.8400000000001</v>
      </c>
      <c r="T575" s="38">
        <f t="shared" si="224"/>
        <v>1798</v>
      </c>
      <c r="U575" s="259">
        <v>0</v>
      </c>
      <c r="V575" s="39">
        <v>0.08</v>
      </c>
      <c r="W575" s="40">
        <v>44377</v>
      </c>
      <c r="X575" s="41">
        <f t="shared" si="221"/>
        <v>20</v>
      </c>
      <c r="Y575" s="42">
        <f t="shared" si="222"/>
        <v>1.6666666666666667</v>
      </c>
    </row>
    <row r="576" spans="1:25" x14ac:dyDescent="0.2">
      <c r="A576" s="52"/>
      <c r="B576" s="43" t="s">
        <v>543</v>
      </c>
      <c r="C576" s="89" t="s">
        <v>201</v>
      </c>
      <c r="D576" s="90" t="s">
        <v>51</v>
      </c>
      <c r="E576" s="46">
        <v>36803</v>
      </c>
      <c r="F576" s="124">
        <v>1685.3385960000003</v>
      </c>
      <c r="G576" s="124">
        <v>0</v>
      </c>
      <c r="H576" s="124"/>
      <c r="I576" s="124">
        <f t="shared" si="218"/>
        <v>16853.385960000003</v>
      </c>
      <c r="J576" s="124">
        <f t="shared" si="219"/>
        <v>4622.6430061714291</v>
      </c>
      <c r="K576" s="125">
        <f>F576/7*12+R576+R576</f>
        <v>3947.7918788571437</v>
      </c>
      <c r="L576" s="391"/>
      <c r="M576" s="462">
        <v>1560.4987000000001</v>
      </c>
      <c r="N576" s="87">
        <f t="shared" si="223"/>
        <v>1685.3385960000003</v>
      </c>
      <c r="O576" s="34">
        <v>70</v>
      </c>
      <c r="P576" s="34">
        <v>19.2</v>
      </c>
      <c r="Q576" s="51">
        <v>36803</v>
      </c>
      <c r="R576" s="36">
        <v>529.32000000000005</v>
      </c>
      <c r="S576" s="103">
        <f t="shared" si="220"/>
        <v>1685.3385960000003</v>
      </c>
      <c r="T576" s="38">
        <f t="shared" si="224"/>
        <v>1560.4987000000001</v>
      </c>
      <c r="U576" s="259">
        <v>0</v>
      </c>
      <c r="V576" s="39">
        <v>0.08</v>
      </c>
      <c r="W576" s="40">
        <v>44377</v>
      </c>
      <c r="X576" s="41">
        <f t="shared" si="221"/>
        <v>248</v>
      </c>
      <c r="Y576" s="42">
        <f t="shared" si="222"/>
        <v>20.666666666666668</v>
      </c>
    </row>
    <row r="577" spans="1:25" x14ac:dyDescent="0.2">
      <c r="A577" s="52"/>
      <c r="B577" s="43" t="s">
        <v>544</v>
      </c>
      <c r="C577" s="89" t="s">
        <v>545</v>
      </c>
      <c r="D577" s="90" t="s">
        <v>30</v>
      </c>
      <c r="E577" s="46">
        <v>43225</v>
      </c>
      <c r="F577" s="124">
        <v>1420.7293080000004</v>
      </c>
      <c r="G577" s="124">
        <v>0</v>
      </c>
      <c r="H577" s="124"/>
      <c r="I577" s="124">
        <f t="shared" si="218"/>
        <v>14207.293080000003</v>
      </c>
      <c r="J577" s="124">
        <f t="shared" si="219"/>
        <v>3409.7503392000012</v>
      </c>
      <c r="K577" s="125">
        <v>0</v>
      </c>
      <c r="L577" s="391"/>
      <c r="M577" s="462">
        <v>1315.4901000000002</v>
      </c>
      <c r="N577" s="87">
        <f t="shared" si="223"/>
        <v>1420.7293080000004</v>
      </c>
      <c r="O577" s="34">
        <v>70</v>
      </c>
      <c r="P577" s="34">
        <v>16.8</v>
      </c>
      <c r="Q577" s="51">
        <v>43225</v>
      </c>
      <c r="R577" s="36">
        <v>0</v>
      </c>
      <c r="S577" s="103">
        <f t="shared" si="220"/>
        <v>1420.7293080000004</v>
      </c>
      <c r="T577" s="38">
        <f t="shared" si="224"/>
        <v>1315.4901000000002</v>
      </c>
      <c r="U577" s="259">
        <v>0</v>
      </c>
      <c r="V577" s="39">
        <v>0.08</v>
      </c>
      <c r="W577" s="40">
        <v>44377</v>
      </c>
      <c r="X577" s="41">
        <f t="shared" si="221"/>
        <v>37</v>
      </c>
      <c r="Y577" s="42">
        <f t="shared" si="222"/>
        <v>3.0833333333333335</v>
      </c>
    </row>
    <row r="578" spans="1:25" x14ac:dyDescent="0.2">
      <c r="A578" s="52"/>
      <c r="B578" s="43" t="s">
        <v>546</v>
      </c>
      <c r="C578" s="89" t="s">
        <v>547</v>
      </c>
      <c r="D578" s="90" t="s">
        <v>30</v>
      </c>
      <c r="E578" s="46">
        <v>43295</v>
      </c>
      <c r="F578" s="124">
        <v>3442.3937280000005</v>
      </c>
      <c r="G578" s="124">
        <v>0</v>
      </c>
      <c r="H578" s="124"/>
      <c r="I578" s="124">
        <f t="shared" si="218"/>
        <v>34423.937280000006</v>
      </c>
      <c r="J578" s="124">
        <f t="shared" si="219"/>
        <v>7081.4956690285726</v>
      </c>
      <c r="K578" s="125">
        <v>0</v>
      </c>
      <c r="L578" s="391"/>
      <c r="M578" s="462">
        <v>3188</v>
      </c>
      <c r="N578" s="87">
        <f t="shared" si="223"/>
        <v>3443.0400000000004</v>
      </c>
      <c r="O578" s="34">
        <v>70</v>
      </c>
      <c r="P578" s="34">
        <v>14.4</v>
      </c>
      <c r="Q578" s="51">
        <v>43295</v>
      </c>
      <c r="R578" s="36">
        <v>0</v>
      </c>
      <c r="S578" s="103">
        <f t="shared" si="220"/>
        <v>3443.0400000000004</v>
      </c>
      <c r="T578" s="38">
        <f t="shared" si="224"/>
        <v>3188</v>
      </c>
      <c r="U578" s="259">
        <v>0</v>
      </c>
      <c r="V578" s="39">
        <v>0.08</v>
      </c>
      <c r="W578" s="40">
        <v>44377</v>
      </c>
      <c r="X578" s="41">
        <f t="shared" si="221"/>
        <v>35</v>
      </c>
      <c r="Y578" s="42">
        <f t="shared" si="222"/>
        <v>2.9166666666666665</v>
      </c>
    </row>
    <row r="579" spans="1:25" x14ac:dyDescent="0.2">
      <c r="A579" s="52"/>
      <c r="B579" s="43" t="s">
        <v>548</v>
      </c>
      <c r="C579" s="89" t="s">
        <v>549</v>
      </c>
      <c r="D579" s="90" t="s">
        <v>30</v>
      </c>
      <c r="E579" s="46">
        <v>43225</v>
      </c>
      <c r="F579" s="124">
        <v>3091.23</v>
      </c>
      <c r="G579" s="124">
        <v>0</v>
      </c>
      <c r="H579" s="124"/>
      <c r="I579" s="124">
        <f t="shared" si="218"/>
        <v>30912.3</v>
      </c>
      <c r="J579" s="124">
        <f t="shared" si="219"/>
        <v>7418.9520000000002</v>
      </c>
      <c r="K579" s="125">
        <v>0</v>
      </c>
      <c r="L579" s="337"/>
      <c r="M579" s="462">
        <v>2862.25</v>
      </c>
      <c r="N579" s="87">
        <f t="shared" si="223"/>
        <v>3091.23</v>
      </c>
      <c r="O579" s="34">
        <v>70</v>
      </c>
      <c r="P579" s="34">
        <v>16.8</v>
      </c>
      <c r="Q579" s="51">
        <v>43225</v>
      </c>
      <c r="R579" s="36">
        <v>0</v>
      </c>
      <c r="S579" s="103">
        <f t="shared" si="220"/>
        <v>3091.23</v>
      </c>
      <c r="T579" s="38">
        <f t="shared" si="224"/>
        <v>2862.25</v>
      </c>
      <c r="U579" s="259">
        <v>0</v>
      </c>
      <c r="V579" s="39">
        <v>0.08</v>
      </c>
      <c r="W579" s="40">
        <v>44377</v>
      </c>
      <c r="X579" s="41">
        <f t="shared" si="221"/>
        <v>37</v>
      </c>
      <c r="Y579" s="42">
        <f t="shared" si="222"/>
        <v>3.0833333333333335</v>
      </c>
    </row>
    <row r="580" spans="1:25" x14ac:dyDescent="0.2">
      <c r="A580" s="52"/>
      <c r="B580" s="43" t="s">
        <v>550</v>
      </c>
      <c r="C580" s="89" t="s">
        <v>551</v>
      </c>
      <c r="D580" s="90" t="s">
        <v>30</v>
      </c>
      <c r="E580" s="46">
        <v>39387</v>
      </c>
      <c r="F580" s="124">
        <v>4071.7681560000005</v>
      </c>
      <c r="G580" s="124">
        <v>0</v>
      </c>
      <c r="H580" s="124"/>
      <c r="I580" s="124">
        <f t="shared" si="218"/>
        <v>40717.681560000005</v>
      </c>
      <c r="J580" s="124">
        <f t="shared" si="219"/>
        <v>11168.278370742859</v>
      </c>
      <c r="K580" s="125">
        <f t="shared" ref="K580:K586" si="225">F580/7*12+R580+R580</f>
        <v>7753.4539817142877</v>
      </c>
      <c r="L580" s="337"/>
      <c r="M580" s="462">
        <v>3771</v>
      </c>
      <c r="N580" s="87">
        <f t="shared" si="223"/>
        <v>4072.6800000000003</v>
      </c>
      <c r="O580" s="34">
        <v>70</v>
      </c>
      <c r="P580" s="34">
        <v>19.2</v>
      </c>
      <c r="Q580" s="51">
        <v>39387</v>
      </c>
      <c r="R580" s="36">
        <v>386.64</v>
      </c>
      <c r="S580" s="103">
        <f t="shared" si="220"/>
        <v>4072.6800000000003</v>
      </c>
      <c r="T580" s="38">
        <f t="shared" si="224"/>
        <v>3771</v>
      </c>
      <c r="U580" s="259">
        <v>0</v>
      </c>
      <c r="V580" s="39">
        <v>0.08</v>
      </c>
      <c r="W580" s="40">
        <v>44377</v>
      </c>
      <c r="X580" s="41">
        <f t="shared" si="221"/>
        <v>163</v>
      </c>
      <c r="Y580" s="42">
        <f t="shared" si="222"/>
        <v>13.583333333333334</v>
      </c>
    </row>
    <row r="581" spans="1:25" x14ac:dyDescent="0.2">
      <c r="A581" s="52"/>
      <c r="B581" s="43" t="s">
        <v>552</v>
      </c>
      <c r="C581" s="89" t="s">
        <v>553</v>
      </c>
      <c r="D581" s="90" t="s">
        <v>30</v>
      </c>
      <c r="E581" s="46">
        <v>42086</v>
      </c>
      <c r="F581" s="124">
        <v>3441.1572360000009</v>
      </c>
      <c r="G581" s="124">
        <v>0</v>
      </c>
      <c r="H581" s="124"/>
      <c r="I581" s="124">
        <f t="shared" si="218"/>
        <v>34411.572360000006</v>
      </c>
      <c r="J581" s="124">
        <f t="shared" si="219"/>
        <v>9438.6027044571456</v>
      </c>
      <c r="K581" s="125">
        <f t="shared" si="225"/>
        <v>6569.126690285716</v>
      </c>
      <c r="L581" s="337"/>
      <c r="M581" s="462">
        <v>3186.2567000000008</v>
      </c>
      <c r="N581" s="87">
        <f t="shared" si="223"/>
        <v>3441.1572360000009</v>
      </c>
      <c r="O581" s="34">
        <v>70</v>
      </c>
      <c r="P581" s="34">
        <v>19.2</v>
      </c>
      <c r="Q581" s="51">
        <v>42086</v>
      </c>
      <c r="R581" s="36">
        <v>335</v>
      </c>
      <c r="S581" s="103">
        <f t="shared" si="220"/>
        <v>3441.1572360000009</v>
      </c>
      <c r="T581" s="38">
        <f t="shared" si="224"/>
        <v>3186.2567000000008</v>
      </c>
      <c r="U581" s="259">
        <v>0</v>
      </c>
      <c r="V581" s="39">
        <v>0.08</v>
      </c>
      <c r="W581" s="40">
        <v>44377</v>
      </c>
      <c r="X581" s="41">
        <f t="shared" si="221"/>
        <v>75</v>
      </c>
      <c r="Y581" s="42">
        <f t="shared" si="222"/>
        <v>6.25</v>
      </c>
    </row>
    <row r="582" spans="1:25" ht="12.75" customHeight="1" x14ac:dyDescent="0.2">
      <c r="A582" s="52"/>
      <c r="B582" s="43" t="s">
        <v>554</v>
      </c>
      <c r="C582" s="89" t="s">
        <v>201</v>
      </c>
      <c r="D582" s="90" t="s">
        <v>51</v>
      </c>
      <c r="E582" s="46">
        <v>37333</v>
      </c>
      <c r="F582" s="124">
        <v>1507.2837480000003</v>
      </c>
      <c r="G582" s="124">
        <v>0</v>
      </c>
      <c r="H582" s="124"/>
      <c r="I582" s="124">
        <f t="shared" si="218"/>
        <v>15072.837480000002</v>
      </c>
      <c r="J582" s="124">
        <f t="shared" si="219"/>
        <v>4134.2639945142864</v>
      </c>
      <c r="K582" s="125">
        <f t="shared" si="225"/>
        <v>3642.5549965714295</v>
      </c>
      <c r="L582" s="337"/>
      <c r="M582" s="462">
        <v>1395</v>
      </c>
      <c r="N582" s="87">
        <f t="shared" si="223"/>
        <v>1506.6000000000001</v>
      </c>
      <c r="O582" s="34">
        <v>70</v>
      </c>
      <c r="P582" s="34">
        <v>19.2</v>
      </c>
      <c r="Q582" s="51">
        <v>37333</v>
      </c>
      <c r="R582" s="36">
        <v>529.32000000000005</v>
      </c>
      <c r="S582" s="103">
        <f t="shared" si="220"/>
        <v>1506.6000000000001</v>
      </c>
      <c r="T582" s="38">
        <f t="shared" si="224"/>
        <v>1395</v>
      </c>
      <c r="U582" s="259">
        <v>0</v>
      </c>
      <c r="V582" s="39">
        <v>0.08</v>
      </c>
      <c r="W582" s="40">
        <v>44377</v>
      </c>
      <c r="X582" s="41">
        <f t="shared" si="221"/>
        <v>231</v>
      </c>
      <c r="Y582" s="42">
        <f t="shared" si="222"/>
        <v>19.25</v>
      </c>
    </row>
    <row r="583" spans="1:25" x14ac:dyDescent="0.2">
      <c r="A583" s="52"/>
      <c r="B583" s="43" t="s">
        <v>555</v>
      </c>
      <c r="C583" s="89" t="s">
        <v>201</v>
      </c>
      <c r="D583" s="90" t="s">
        <v>51</v>
      </c>
      <c r="E583" s="46">
        <v>37896</v>
      </c>
      <c r="F583" s="124">
        <v>2072.3605920000005</v>
      </c>
      <c r="G583" s="124">
        <v>0</v>
      </c>
      <c r="H583" s="124"/>
      <c r="I583" s="124">
        <f t="shared" si="218"/>
        <v>20723.605920000005</v>
      </c>
      <c r="J583" s="124">
        <f t="shared" si="219"/>
        <v>5684.1890523428583</v>
      </c>
      <c r="K583" s="125">
        <f t="shared" si="225"/>
        <v>4611.2581577142873</v>
      </c>
      <c r="L583" s="337"/>
      <c r="M583" s="462">
        <v>1918.8524000000002</v>
      </c>
      <c r="N583" s="87">
        <f t="shared" si="223"/>
        <v>2072.3605920000005</v>
      </c>
      <c r="O583" s="34">
        <v>70</v>
      </c>
      <c r="P583" s="34">
        <v>19.2</v>
      </c>
      <c r="Q583" s="51">
        <v>37896</v>
      </c>
      <c r="R583" s="36">
        <v>529.32000000000005</v>
      </c>
      <c r="S583" s="103">
        <f t="shared" si="220"/>
        <v>2072.3605920000005</v>
      </c>
      <c r="T583" s="38">
        <f t="shared" si="224"/>
        <v>1918.8524000000002</v>
      </c>
      <c r="U583" s="259">
        <v>0</v>
      </c>
      <c r="V583" s="39">
        <v>0.08</v>
      </c>
      <c r="W583" s="40">
        <v>44377</v>
      </c>
      <c r="X583" s="41">
        <f t="shared" si="221"/>
        <v>212</v>
      </c>
      <c r="Y583" s="42">
        <f t="shared" si="222"/>
        <v>17.666666666666668</v>
      </c>
    </row>
    <row r="584" spans="1:25" x14ac:dyDescent="0.2">
      <c r="A584" s="52"/>
      <c r="B584" s="43" t="s">
        <v>556</v>
      </c>
      <c r="C584" s="89" t="s">
        <v>201</v>
      </c>
      <c r="D584" s="90" t="s">
        <v>51</v>
      </c>
      <c r="E584" s="46">
        <v>36715</v>
      </c>
      <c r="F584" s="124">
        <v>1685.3385960000003</v>
      </c>
      <c r="G584" s="124">
        <v>0</v>
      </c>
      <c r="H584" s="124"/>
      <c r="I584" s="124">
        <f t="shared" si="218"/>
        <v>16853.385960000003</v>
      </c>
      <c r="J584" s="124">
        <f t="shared" si="219"/>
        <v>4622.6430061714291</v>
      </c>
      <c r="K584" s="125">
        <f t="shared" si="225"/>
        <v>3947.7918788571437</v>
      </c>
      <c r="L584" s="337"/>
      <c r="M584" s="462">
        <v>1560.4987000000001</v>
      </c>
      <c r="N584" s="87">
        <f t="shared" si="223"/>
        <v>1685.3385960000003</v>
      </c>
      <c r="O584" s="34">
        <v>70</v>
      </c>
      <c r="P584" s="34">
        <v>19.2</v>
      </c>
      <c r="Q584" s="51">
        <v>36715</v>
      </c>
      <c r="R584" s="36">
        <v>529.32000000000005</v>
      </c>
      <c r="S584" s="103">
        <f t="shared" si="220"/>
        <v>1685.3385960000003</v>
      </c>
      <c r="T584" s="38">
        <f t="shared" si="224"/>
        <v>1560.4987000000001</v>
      </c>
      <c r="U584" s="259">
        <v>0</v>
      </c>
      <c r="V584" s="39">
        <v>0.08</v>
      </c>
      <c r="W584" s="40">
        <v>44377</v>
      </c>
      <c r="X584" s="41">
        <f t="shared" si="221"/>
        <v>251</v>
      </c>
      <c r="Y584" s="42">
        <f t="shared" si="222"/>
        <v>20.916666666666668</v>
      </c>
    </row>
    <row r="585" spans="1:25" x14ac:dyDescent="0.2">
      <c r="A585" s="52"/>
      <c r="B585" s="43" t="s">
        <v>557</v>
      </c>
      <c r="C585" s="89" t="s">
        <v>201</v>
      </c>
      <c r="D585" s="90" t="s">
        <v>51</v>
      </c>
      <c r="E585" s="46">
        <v>38411</v>
      </c>
      <c r="F585" s="124">
        <v>2716.5729240000001</v>
      </c>
      <c r="G585" s="124">
        <v>0</v>
      </c>
      <c r="H585" s="124"/>
      <c r="I585" s="124">
        <f t="shared" si="218"/>
        <v>27165.729240000001</v>
      </c>
      <c r="J585" s="124">
        <f t="shared" si="219"/>
        <v>7451.1714486857136</v>
      </c>
      <c r="K585" s="125">
        <f t="shared" si="225"/>
        <v>5715.6221554285712</v>
      </c>
      <c r="L585" s="337"/>
      <c r="M585" s="462">
        <v>2516</v>
      </c>
      <c r="N585" s="87">
        <f t="shared" si="223"/>
        <v>2717.28</v>
      </c>
      <c r="O585" s="34">
        <v>70</v>
      </c>
      <c r="P585" s="34">
        <v>19.2</v>
      </c>
      <c r="Q585" s="51">
        <v>38411</v>
      </c>
      <c r="R585" s="36">
        <v>529.32000000000005</v>
      </c>
      <c r="S585" s="103">
        <f t="shared" si="220"/>
        <v>2717.28</v>
      </c>
      <c r="T585" s="38">
        <f t="shared" si="224"/>
        <v>2516</v>
      </c>
      <c r="U585" s="259">
        <v>0</v>
      </c>
      <c r="V585" s="39">
        <v>0.08</v>
      </c>
      <c r="W585" s="40">
        <v>44377</v>
      </c>
      <c r="X585" s="41">
        <f t="shared" si="221"/>
        <v>196</v>
      </c>
      <c r="Y585" s="42">
        <f t="shared" si="222"/>
        <v>16.333333333333332</v>
      </c>
    </row>
    <row r="586" spans="1:25" x14ac:dyDescent="0.2">
      <c r="A586" s="52"/>
      <c r="B586" s="43" t="s">
        <v>558</v>
      </c>
      <c r="C586" s="89" t="s">
        <v>201</v>
      </c>
      <c r="D586" s="90" t="s">
        <v>51</v>
      </c>
      <c r="E586" s="46">
        <v>36224</v>
      </c>
      <c r="F586" s="124">
        <v>3102.3584280000005</v>
      </c>
      <c r="G586" s="124">
        <v>0</v>
      </c>
      <c r="H586" s="124"/>
      <c r="I586" s="124">
        <f t="shared" si="218"/>
        <v>31023.584280000003</v>
      </c>
      <c r="J586" s="124">
        <f t="shared" si="219"/>
        <v>8509.3259739428577</v>
      </c>
      <c r="K586" s="125">
        <f t="shared" si="225"/>
        <v>6692.9287337142869</v>
      </c>
      <c r="L586" s="337"/>
      <c r="M586" s="462">
        <v>2872.5541000000003</v>
      </c>
      <c r="N586" s="87">
        <f t="shared" si="223"/>
        <v>3102.3584280000005</v>
      </c>
      <c r="O586" s="34">
        <v>70</v>
      </c>
      <c r="P586" s="34">
        <v>19.2</v>
      </c>
      <c r="Q586" s="51">
        <v>36224</v>
      </c>
      <c r="R586" s="36">
        <v>687.3</v>
      </c>
      <c r="S586" s="103">
        <f t="shared" si="220"/>
        <v>3102.3584280000005</v>
      </c>
      <c r="T586" s="38">
        <f t="shared" si="224"/>
        <v>2872.5541000000003</v>
      </c>
      <c r="U586" s="259">
        <v>0</v>
      </c>
      <c r="V586" s="39">
        <v>0.08</v>
      </c>
      <c r="W586" s="40">
        <v>44377</v>
      </c>
      <c r="X586" s="41">
        <f t="shared" si="221"/>
        <v>267</v>
      </c>
      <c r="Y586" s="42">
        <f t="shared" si="222"/>
        <v>22.25</v>
      </c>
    </row>
    <row r="587" spans="1:25" x14ac:dyDescent="0.2">
      <c r="A587" s="52"/>
      <c r="B587" s="43" t="s">
        <v>559</v>
      </c>
      <c r="C587" s="89" t="s">
        <v>201</v>
      </c>
      <c r="D587" s="90" t="s">
        <v>30</v>
      </c>
      <c r="E587" s="46">
        <v>42777</v>
      </c>
      <c r="F587" s="124">
        <v>1984.5696600000003</v>
      </c>
      <c r="G587" s="124">
        <v>0</v>
      </c>
      <c r="H587" s="124"/>
      <c r="I587" s="124">
        <f t="shared" si="218"/>
        <v>19845.696600000003</v>
      </c>
      <c r="J587" s="124">
        <f t="shared" si="219"/>
        <v>4762.967184000001</v>
      </c>
      <c r="K587" s="125"/>
      <c r="L587" s="337"/>
      <c r="M587" s="462">
        <v>1837</v>
      </c>
      <c r="N587" s="87">
        <f t="shared" si="223"/>
        <v>1983.96</v>
      </c>
      <c r="O587" s="34">
        <v>70</v>
      </c>
      <c r="P587" s="34">
        <v>16.8</v>
      </c>
      <c r="Q587" s="51">
        <v>42777</v>
      </c>
      <c r="R587" s="36">
        <v>0</v>
      </c>
      <c r="S587" s="103">
        <f t="shared" si="220"/>
        <v>1983.96</v>
      </c>
      <c r="T587" s="38">
        <f t="shared" si="224"/>
        <v>1837</v>
      </c>
      <c r="U587" s="259">
        <v>0</v>
      </c>
      <c r="V587" s="39">
        <v>0.08</v>
      </c>
      <c r="W587" s="40">
        <v>44377</v>
      </c>
      <c r="X587" s="41">
        <f t="shared" si="221"/>
        <v>52</v>
      </c>
      <c r="Y587" s="42">
        <f t="shared" si="222"/>
        <v>4.333333333333333</v>
      </c>
    </row>
    <row r="588" spans="1:25" x14ac:dyDescent="0.2">
      <c r="A588" s="52"/>
      <c r="B588" s="43" t="s">
        <v>560</v>
      </c>
      <c r="C588" s="89" t="s">
        <v>201</v>
      </c>
      <c r="D588" s="90" t="s">
        <v>51</v>
      </c>
      <c r="E588" s="46">
        <v>36544</v>
      </c>
      <c r="F588" s="124">
        <v>1685.3385960000003</v>
      </c>
      <c r="G588" s="124">
        <v>0</v>
      </c>
      <c r="H588" s="124"/>
      <c r="I588" s="124">
        <f t="shared" si="218"/>
        <v>16853.385960000003</v>
      </c>
      <c r="J588" s="124">
        <f t="shared" si="219"/>
        <v>4622.6430061714291</v>
      </c>
      <c r="K588" s="125">
        <f>F588/7*12+R588+R588</f>
        <v>4263.7518788571433</v>
      </c>
      <c r="L588" s="337"/>
      <c r="M588" s="462">
        <v>1560.4987000000001</v>
      </c>
      <c r="N588" s="87">
        <f t="shared" si="223"/>
        <v>1685.3385960000003</v>
      </c>
      <c r="O588" s="34">
        <v>70</v>
      </c>
      <c r="P588" s="34">
        <v>19.2</v>
      </c>
      <c r="Q588" s="51">
        <v>36544</v>
      </c>
      <c r="R588" s="36">
        <v>687.3</v>
      </c>
      <c r="S588" s="103">
        <f t="shared" si="220"/>
        <v>1685.3385960000003</v>
      </c>
      <c r="T588" s="38">
        <f t="shared" si="224"/>
        <v>1560.4987000000001</v>
      </c>
      <c r="U588" s="259">
        <v>0</v>
      </c>
      <c r="V588" s="39">
        <v>0.08</v>
      </c>
      <c r="W588" s="40">
        <v>44377</v>
      </c>
      <c r="X588" s="41">
        <f t="shared" si="221"/>
        <v>257</v>
      </c>
      <c r="Y588" s="42">
        <f t="shared" si="222"/>
        <v>21.416666666666668</v>
      </c>
    </row>
    <row r="589" spans="1:25" x14ac:dyDescent="0.2">
      <c r="A589" s="52"/>
      <c r="B589" s="43" t="s">
        <v>561</v>
      </c>
      <c r="C589" s="89" t="s">
        <v>201</v>
      </c>
      <c r="D589" s="90" t="s">
        <v>30</v>
      </c>
      <c r="E589" s="46">
        <v>43225</v>
      </c>
      <c r="F589" s="124">
        <v>2178.6989040000003</v>
      </c>
      <c r="G589" s="124">
        <v>0</v>
      </c>
      <c r="H589" s="124"/>
      <c r="I589" s="124">
        <f t="shared" si="218"/>
        <v>21786.98904</v>
      </c>
      <c r="J589" s="124">
        <f t="shared" si="219"/>
        <v>5228.8773696000007</v>
      </c>
      <c r="K589" s="125">
        <v>0</v>
      </c>
      <c r="L589" s="337"/>
      <c r="M589" s="462">
        <v>2017.3138000000004</v>
      </c>
      <c r="N589" s="87">
        <f t="shared" si="223"/>
        <v>2178.6989040000003</v>
      </c>
      <c r="O589" s="34">
        <v>70</v>
      </c>
      <c r="P589" s="34">
        <v>16.8</v>
      </c>
      <c r="Q589" s="51">
        <v>43225</v>
      </c>
      <c r="R589" s="36">
        <v>0</v>
      </c>
      <c r="S589" s="103">
        <f t="shared" si="220"/>
        <v>2178.6989040000003</v>
      </c>
      <c r="T589" s="38">
        <f t="shared" si="224"/>
        <v>2017.3138000000001</v>
      </c>
      <c r="U589" s="259">
        <v>0</v>
      </c>
      <c r="V589" s="39">
        <v>0.08</v>
      </c>
      <c r="W589" s="40">
        <v>44377</v>
      </c>
      <c r="X589" s="41">
        <f t="shared" si="221"/>
        <v>37</v>
      </c>
      <c r="Y589" s="42">
        <f t="shared" si="222"/>
        <v>3.0833333333333335</v>
      </c>
    </row>
    <row r="590" spans="1:25" x14ac:dyDescent="0.2">
      <c r="A590" s="52"/>
      <c r="B590" s="43" t="s">
        <v>562</v>
      </c>
      <c r="C590" s="89" t="s">
        <v>201</v>
      </c>
      <c r="D590" s="90" t="s">
        <v>30</v>
      </c>
      <c r="E590" s="46">
        <v>42086</v>
      </c>
      <c r="F590" s="124">
        <v>2723.991876</v>
      </c>
      <c r="G590" s="124">
        <v>0</v>
      </c>
      <c r="H590" s="124"/>
      <c r="I590" s="124">
        <f t="shared" si="218"/>
        <v>27239.91876</v>
      </c>
      <c r="J590" s="124">
        <f t="shared" si="219"/>
        <v>7471.5205741714281</v>
      </c>
      <c r="K590" s="125">
        <f t="shared" ref="K590:K597" si="226">F590/7*12+R590+R590</f>
        <v>5340.0203588571421</v>
      </c>
      <c r="L590" s="337"/>
      <c r="M590" s="462">
        <v>2522.2147</v>
      </c>
      <c r="N590" s="87">
        <f t="shared" si="223"/>
        <v>2723.991876</v>
      </c>
      <c r="O590" s="34">
        <v>70</v>
      </c>
      <c r="P590" s="34">
        <v>19.2</v>
      </c>
      <c r="Q590" s="51">
        <v>42086</v>
      </c>
      <c r="R590" s="36">
        <v>335.16</v>
      </c>
      <c r="S590" s="103">
        <f t="shared" si="220"/>
        <v>2723.991876</v>
      </c>
      <c r="T590" s="38">
        <f t="shared" si="224"/>
        <v>2522.2147</v>
      </c>
      <c r="U590" s="259">
        <v>0</v>
      </c>
      <c r="V590" s="39">
        <v>0.08</v>
      </c>
      <c r="W590" s="40">
        <v>44377</v>
      </c>
      <c r="X590" s="41">
        <f t="shared" si="221"/>
        <v>75</v>
      </c>
      <c r="Y590" s="42">
        <f t="shared" si="222"/>
        <v>6.25</v>
      </c>
    </row>
    <row r="591" spans="1:25" x14ac:dyDescent="0.2">
      <c r="A591" s="52"/>
      <c r="B591" s="43" t="s">
        <v>563</v>
      </c>
      <c r="C591" s="89" t="s">
        <v>201</v>
      </c>
      <c r="D591" s="90" t="s">
        <v>51</v>
      </c>
      <c r="E591" s="46">
        <v>37272</v>
      </c>
      <c r="F591" s="124">
        <v>2443.3081920000009</v>
      </c>
      <c r="G591" s="124">
        <v>0</v>
      </c>
      <c r="H591" s="124"/>
      <c r="I591" s="124">
        <f t="shared" si="218"/>
        <v>24433.081920000008</v>
      </c>
      <c r="J591" s="124">
        <f t="shared" si="219"/>
        <v>6701.6453266285735</v>
      </c>
      <c r="K591" s="125">
        <f t="shared" si="226"/>
        <v>5247.1683291428581</v>
      </c>
      <c r="L591" s="337"/>
      <c r="M591" s="462">
        <v>2262.3224000000005</v>
      </c>
      <c r="N591" s="87">
        <f t="shared" si="223"/>
        <v>2443.3081920000009</v>
      </c>
      <c r="O591" s="34">
        <v>70</v>
      </c>
      <c r="P591" s="34">
        <v>19.2</v>
      </c>
      <c r="Q591" s="51">
        <v>37272</v>
      </c>
      <c r="R591" s="36">
        <v>529.32000000000005</v>
      </c>
      <c r="S591" s="103">
        <f t="shared" si="220"/>
        <v>2443.3081920000009</v>
      </c>
      <c r="T591" s="38">
        <f t="shared" si="224"/>
        <v>2262.3224000000005</v>
      </c>
      <c r="U591" s="259">
        <v>0</v>
      </c>
      <c r="V591" s="39">
        <v>0.08</v>
      </c>
      <c r="W591" s="40">
        <v>44377</v>
      </c>
      <c r="X591" s="41">
        <f t="shared" si="221"/>
        <v>233</v>
      </c>
      <c r="Y591" s="42">
        <f t="shared" si="222"/>
        <v>19.416666666666668</v>
      </c>
    </row>
    <row r="592" spans="1:25" x14ac:dyDescent="0.2">
      <c r="A592" s="52"/>
      <c r="B592" s="43" t="s">
        <v>564</v>
      </c>
      <c r="C592" s="89" t="s">
        <v>61</v>
      </c>
      <c r="D592" s="90" t="s">
        <v>51</v>
      </c>
      <c r="E592" s="46">
        <v>37937</v>
      </c>
      <c r="F592" s="124">
        <v>1669.2642000000001</v>
      </c>
      <c r="G592" s="124">
        <v>0</v>
      </c>
      <c r="H592" s="124"/>
      <c r="I592" s="124">
        <f t="shared" si="218"/>
        <v>16692.642</v>
      </c>
      <c r="J592" s="124">
        <f t="shared" si="219"/>
        <v>4578.5532342857141</v>
      </c>
      <c r="K592" s="125">
        <f t="shared" si="226"/>
        <v>3920.2357714285718</v>
      </c>
      <c r="L592" s="337"/>
      <c r="M592" s="462">
        <v>1545.615</v>
      </c>
      <c r="N592" s="87">
        <f t="shared" si="223"/>
        <v>1669.2642000000001</v>
      </c>
      <c r="O592" s="34">
        <v>70</v>
      </c>
      <c r="P592" s="34">
        <v>19.2</v>
      </c>
      <c r="Q592" s="51">
        <v>37937</v>
      </c>
      <c r="R592" s="36">
        <v>529.32000000000005</v>
      </c>
      <c r="S592" s="103">
        <f t="shared" si="220"/>
        <v>1669.2642000000001</v>
      </c>
      <c r="T592" s="38">
        <f t="shared" si="224"/>
        <v>1545.615</v>
      </c>
      <c r="U592" s="259">
        <v>0</v>
      </c>
      <c r="V592" s="39">
        <v>0.08</v>
      </c>
      <c r="W592" s="40">
        <v>44377</v>
      </c>
      <c r="X592" s="41">
        <f t="shared" si="221"/>
        <v>211</v>
      </c>
      <c r="Y592" s="42">
        <f t="shared" si="222"/>
        <v>17.583333333333332</v>
      </c>
    </row>
    <row r="593" spans="1:25" x14ac:dyDescent="0.2">
      <c r="A593" s="52"/>
      <c r="B593" s="43" t="s">
        <v>565</v>
      </c>
      <c r="C593" s="89" t="s">
        <v>201</v>
      </c>
      <c r="D593" s="90" t="s">
        <v>51</v>
      </c>
      <c r="E593" s="46">
        <v>37347</v>
      </c>
      <c r="F593" s="124">
        <v>1507.2837480000003</v>
      </c>
      <c r="G593" s="124">
        <v>0</v>
      </c>
      <c r="H593" s="124"/>
      <c r="I593" s="124">
        <f t="shared" si="218"/>
        <v>15072.837480000002</v>
      </c>
      <c r="J593" s="124">
        <f t="shared" si="219"/>
        <v>4134.2639945142864</v>
      </c>
      <c r="K593" s="125">
        <f t="shared" si="226"/>
        <v>3642.5549965714295</v>
      </c>
      <c r="L593" s="337"/>
      <c r="M593" s="462">
        <v>1395</v>
      </c>
      <c r="N593" s="87">
        <f t="shared" si="223"/>
        <v>1506.6000000000001</v>
      </c>
      <c r="O593" s="34">
        <v>70</v>
      </c>
      <c r="P593" s="34">
        <v>19.2</v>
      </c>
      <c r="Q593" s="51">
        <v>37347</v>
      </c>
      <c r="R593" s="36">
        <v>529.32000000000005</v>
      </c>
      <c r="S593" s="103">
        <f t="shared" si="220"/>
        <v>1506.6000000000001</v>
      </c>
      <c r="T593" s="38">
        <f t="shared" si="224"/>
        <v>1395</v>
      </c>
      <c r="U593" s="259">
        <v>0</v>
      </c>
      <c r="V593" s="39">
        <v>0.08</v>
      </c>
      <c r="W593" s="40">
        <v>44377</v>
      </c>
      <c r="X593" s="41">
        <f t="shared" si="221"/>
        <v>230</v>
      </c>
      <c r="Y593" s="42">
        <f t="shared" si="222"/>
        <v>19.166666666666668</v>
      </c>
    </row>
    <row r="594" spans="1:25" x14ac:dyDescent="0.2">
      <c r="A594" s="52"/>
      <c r="B594" s="43" t="s">
        <v>566</v>
      </c>
      <c r="C594" s="89" t="s">
        <v>201</v>
      </c>
      <c r="D594" s="90" t="s">
        <v>51</v>
      </c>
      <c r="E594" s="46">
        <v>36232</v>
      </c>
      <c r="F594" s="124">
        <v>1723.6698480000005</v>
      </c>
      <c r="G594" s="226">
        <v>0</v>
      </c>
      <c r="H594" s="124"/>
      <c r="I594" s="124">
        <f t="shared" si="218"/>
        <v>17236.698480000003</v>
      </c>
      <c r="J594" s="124">
        <f t="shared" si="219"/>
        <v>4727.7801545142866</v>
      </c>
      <c r="K594" s="125">
        <f t="shared" si="226"/>
        <v>4329.4625965714295</v>
      </c>
      <c r="L594" s="337"/>
      <c r="M594" s="462">
        <v>1595.9906000000003</v>
      </c>
      <c r="N594" s="87">
        <f t="shared" si="223"/>
        <v>1723.6698480000005</v>
      </c>
      <c r="O594" s="34">
        <v>70</v>
      </c>
      <c r="P594" s="34">
        <v>19.2</v>
      </c>
      <c r="Q594" s="51">
        <v>36232</v>
      </c>
      <c r="R594" s="392">
        <v>687.3</v>
      </c>
      <c r="S594" s="103">
        <f t="shared" si="220"/>
        <v>1723.6698480000005</v>
      </c>
      <c r="T594" s="38">
        <f t="shared" si="224"/>
        <v>1595.9906000000003</v>
      </c>
      <c r="U594" s="259">
        <v>0</v>
      </c>
      <c r="V594" s="39">
        <v>0.08</v>
      </c>
      <c r="W594" s="40">
        <v>44377</v>
      </c>
      <c r="X594" s="41">
        <f t="shared" si="221"/>
        <v>267</v>
      </c>
      <c r="Y594" s="42">
        <f t="shared" si="222"/>
        <v>22.25</v>
      </c>
    </row>
    <row r="595" spans="1:25" ht="13.5" customHeight="1" x14ac:dyDescent="0.2">
      <c r="A595" s="52"/>
      <c r="B595" s="43" t="s">
        <v>567</v>
      </c>
      <c r="C595" s="89" t="s">
        <v>201</v>
      </c>
      <c r="D595" s="90" t="s">
        <v>51</v>
      </c>
      <c r="E595" s="46">
        <v>37643</v>
      </c>
      <c r="F595" s="124">
        <v>1507.2837480000003</v>
      </c>
      <c r="G595" s="226">
        <v>0</v>
      </c>
      <c r="H595" s="124"/>
      <c r="I595" s="124">
        <f t="shared" si="218"/>
        <v>15072.837480000002</v>
      </c>
      <c r="J595" s="124">
        <f t="shared" si="219"/>
        <v>4134.2639945142864</v>
      </c>
      <c r="K595" s="125">
        <f t="shared" si="226"/>
        <v>3642.5549965714295</v>
      </c>
      <c r="L595" s="337"/>
      <c r="M595" s="462">
        <v>1395</v>
      </c>
      <c r="N595" s="87">
        <f t="shared" si="223"/>
        <v>1506.6000000000001</v>
      </c>
      <c r="O595" s="34">
        <v>70</v>
      </c>
      <c r="P595" s="34">
        <v>19.2</v>
      </c>
      <c r="Q595" s="51">
        <v>37643</v>
      </c>
      <c r="R595" s="392">
        <v>529.32000000000005</v>
      </c>
      <c r="S595" s="103">
        <f t="shared" si="220"/>
        <v>1506.6000000000001</v>
      </c>
      <c r="T595" s="38">
        <f t="shared" si="224"/>
        <v>1395</v>
      </c>
      <c r="U595" s="259">
        <v>0</v>
      </c>
      <c r="V595" s="39">
        <v>0.08</v>
      </c>
      <c r="W595" s="40">
        <v>44377</v>
      </c>
      <c r="X595" s="41">
        <f t="shared" si="221"/>
        <v>221</v>
      </c>
      <c r="Y595" s="42">
        <f t="shared" si="222"/>
        <v>18.416666666666668</v>
      </c>
    </row>
    <row r="596" spans="1:25" x14ac:dyDescent="0.2">
      <c r="A596" s="52"/>
      <c r="B596" s="43" t="s">
        <v>568</v>
      </c>
      <c r="C596" s="89" t="s">
        <v>201</v>
      </c>
      <c r="D596" s="90" t="s">
        <v>30</v>
      </c>
      <c r="E596" s="46">
        <v>42086</v>
      </c>
      <c r="F596" s="124">
        <v>1549.3244760000002</v>
      </c>
      <c r="G596" s="124">
        <v>0</v>
      </c>
      <c r="H596" s="124"/>
      <c r="I596" s="124">
        <f t="shared" si="218"/>
        <v>15493.244760000001</v>
      </c>
      <c r="J596" s="124">
        <f t="shared" si="219"/>
        <v>4249.5757056000002</v>
      </c>
      <c r="K596" s="125">
        <f t="shared" si="226"/>
        <v>3326.3048159999998</v>
      </c>
      <c r="L596" s="337"/>
      <c r="M596" s="462">
        <v>1434.5597</v>
      </c>
      <c r="N596" s="87">
        <f t="shared" si="223"/>
        <v>1549.3244760000002</v>
      </c>
      <c r="O596" s="34">
        <v>70</v>
      </c>
      <c r="P596" s="34">
        <v>19.2</v>
      </c>
      <c r="Q596" s="51">
        <v>42086</v>
      </c>
      <c r="R596" s="36">
        <v>335.16</v>
      </c>
      <c r="S596" s="103">
        <f t="shared" si="220"/>
        <v>1549.3244760000002</v>
      </c>
      <c r="T596" s="38">
        <f t="shared" si="224"/>
        <v>1434.5597</v>
      </c>
      <c r="U596" s="259">
        <v>0</v>
      </c>
      <c r="V596" s="39">
        <v>0.08</v>
      </c>
      <c r="W596" s="40">
        <v>44377</v>
      </c>
      <c r="X596" s="41">
        <f t="shared" si="221"/>
        <v>75</v>
      </c>
      <c r="Y596" s="42">
        <f t="shared" si="222"/>
        <v>6.25</v>
      </c>
    </row>
    <row r="597" spans="1:25" ht="13.5" customHeight="1" x14ac:dyDescent="0.2">
      <c r="A597" s="52"/>
      <c r="B597" s="104" t="s">
        <v>569</v>
      </c>
      <c r="C597" s="89" t="s">
        <v>201</v>
      </c>
      <c r="D597" s="90" t="s">
        <v>51</v>
      </c>
      <c r="E597" s="106">
        <v>37384</v>
      </c>
      <c r="F597" s="124">
        <v>1507.2837480000003</v>
      </c>
      <c r="G597" s="124">
        <v>0</v>
      </c>
      <c r="H597" s="124"/>
      <c r="I597" s="124">
        <f t="shared" si="218"/>
        <v>15072.837480000002</v>
      </c>
      <c r="J597" s="124">
        <f t="shared" si="219"/>
        <v>4134.2639945142864</v>
      </c>
      <c r="K597" s="125">
        <f t="shared" si="226"/>
        <v>3642.5549965714295</v>
      </c>
      <c r="L597" s="302"/>
      <c r="M597" s="462">
        <v>1395</v>
      </c>
      <c r="N597" s="87">
        <f t="shared" si="223"/>
        <v>1506.6000000000001</v>
      </c>
      <c r="O597" s="34">
        <v>70</v>
      </c>
      <c r="P597" s="34">
        <v>19.2</v>
      </c>
      <c r="Q597" s="35">
        <v>37384</v>
      </c>
      <c r="R597" s="392">
        <v>529.32000000000005</v>
      </c>
      <c r="S597" s="103">
        <f t="shared" si="220"/>
        <v>1506.6000000000001</v>
      </c>
      <c r="T597" s="38">
        <f t="shared" si="224"/>
        <v>1395</v>
      </c>
      <c r="U597" s="259">
        <v>0</v>
      </c>
      <c r="V597" s="39">
        <v>0.08</v>
      </c>
      <c r="W597" s="40">
        <v>44377</v>
      </c>
      <c r="X597" s="41">
        <f t="shared" si="221"/>
        <v>229</v>
      </c>
      <c r="Y597" s="42">
        <f t="shared" si="222"/>
        <v>19.083333333333332</v>
      </c>
    </row>
    <row r="598" spans="1:25" x14ac:dyDescent="0.2">
      <c r="A598" s="52"/>
      <c r="B598" s="43" t="s">
        <v>570</v>
      </c>
      <c r="C598" s="89" t="s">
        <v>571</v>
      </c>
      <c r="D598" s="90" t="s">
        <v>30</v>
      </c>
      <c r="E598" s="46">
        <v>43512</v>
      </c>
      <c r="F598" s="124">
        <v>2340.09</v>
      </c>
      <c r="G598" s="124">
        <v>0</v>
      </c>
      <c r="H598" s="124"/>
      <c r="I598" s="124">
        <f t="shared" si="218"/>
        <v>23400.9</v>
      </c>
      <c r="J598" s="124">
        <f t="shared" si="219"/>
        <v>4813.8994285714289</v>
      </c>
      <c r="K598" s="125"/>
      <c r="L598" s="337"/>
      <c r="M598" s="462">
        <v>2166.75</v>
      </c>
      <c r="N598" s="87">
        <f t="shared" si="223"/>
        <v>2340.09</v>
      </c>
      <c r="O598" s="34">
        <v>70</v>
      </c>
      <c r="P598" s="34">
        <v>14.4</v>
      </c>
      <c r="Q598" s="51">
        <v>43512</v>
      </c>
      <c r="R598" s="36">
        <v>0</v>
      </c>
      <c r="S598" s="103">
        <f t="shared" si="220"/>
        <v>2340.09</v>
      </c>
      <c r="T598" s="38">
        <f t="shared" si="224"/>
        <v>2166.75</v>
      </c>
      <c r="U598" s="259">
        <v>0</v>
      </c>
      <c r="V598" s="39">
        <v>0.08</v>
      </c>
      <c r="W598" s="40">
        <v>44377</v>
      </c>
      <c r="X598" s="41">
        <f t="shared" si="221"/>
        <v>28</v>
      </c>
      <c r="Y598" s="42">
        <f t="shared" si="222"/>
        <v>2.3333333333333335</v>
      </c>
    </row>
    <row r="599" spans="1:25" x14ac:dyDescent="0.2">
      <c r="A599" s="52"/>
      <c r="B599" s="43" t="s">
        <v>572</v>
      </c>
      <c r="C599" s="89" t="s">
        <v>201</v>
      </c>
      <c r="D599" s="90" t="s">
        <v>51</v>
      </c>
      <c r="E599" s="46">
        <v>37300</v>
      </c>
      <c r="F599" s="124">
        <v>1507.2837480000003</v>
      </c>
      <c r="G599" s="226">
        <v>0</v>
      </c>
      <c r="H599" s="124"/>
      <c r="I599" s="124">
        <f t="shared" si="218"/>
        <v>15072.837480000002</v>
      </c>
      <c r="J599" s="124">
        <f t="shared" si="219"/>
        <v>4134.2639945142864</v>
      </c>
      <c r="K599" s="125">
        <f>F599/7*12+R599+R599</f>
        <v>3642.5549965714295</v>
      </c>
      <c r="L599" s="337"/>
      <c r="M599" s="462">
        <v>1395</v>
      </c>
      <c r="N599" s="87">
        <f t="shared" si="223"/>
        <v>1506.6000000000001</v>
      </c>
      <c r="O599" s="34">
        <v>70</v>
      </c>
      <c r="P599" s="34">
        <v>19.2</v>
      </c>
      <c r="Q599" s="51">
        <v>37300</v>
      </c>
      <c r="R599" s="36">
        <v>529.32000000000005</v>
      </c>
      <c r="S599" s="103">
        <f t="shared" si="220"/>
        <v>1506.6000000000001</v>
      </c>
      <c r="T599" s="38">
        <f t="shared" si="224"/>
        <v>1395</v>
      </c>
      <c r="U599" s="259">
        <v>0</v>
      </c>
      <c r="V599" s="39">
        <v>0.08</v>
      </c>
      <c r="W599" s="40">
        <v>44377</v>
      </c>
      <c r="X599" s="41">
        <f t="shared" si="221"/>
        <v>232</v>
      </c>
      <c r="Y599" s="42">
        <f t="shared" si="222"/>
        <v>19.333333333333332</v>
      </c>
    </row>
    <row r="600" spans="1:25" x14ac:dyDescent="0.2">
      <c r="A600" s="52"/>
      <c r="B600" s="43" t="s">
        <v>573</v>
      </c>
      <c r="C600" s="89" t="s">
        <v>539</v>
      </c>
      <c r="D600" s="90" t="s">
        <v>30</v>
      </c>
      <c r="E600" s="46">
        <v>43225</v>
      </c>
      <c r="F600" s="124">
        <v>2090.9079720000004</v>
      </c>
      <c r="G600" s="226">
        <v>0</v>
      </c>
      <c r="H600" s="124"/>
      <c r="I600" s="124">
        <f t="shared" si="218"/>
        <v>20909.079720000002</v>
      </c>
      <c r="J600" s="124">
        <f t="shared" si="219"/>
        <v>5018.1791328000008</v>
      </c>
      <c r="K600" s="125"/>
      <c r="L600" s="337"/>
      <c r="M600" s="462">
        <v>1936.0259000000003</v>
      </c>
      <c r="N600" s="87">
        <f t="shared" si="223"/>
        <v>2090.9079720000004</v>
      </c>
      <c r="O600" s="34">
        <v>70</v>
      </c>
      <c r="P600" s="34">
        <v>16.8</v>
      </c>
      <c r="Q600" s="51">
        <v>43225</v>
      </c>
      <c r="R600" s="36">
        <v>0</v>
      </c>
      <c r="S600" s="103">
        <f t="shared" si="220"/>
        <v>2090.9079720000004</v>
      </c>
      <c r="T600" s="38">
        <f t="shared" si="224"/>
        <v>1936.0259000000003</v>
      </c>
      <c r="U600" s="259">
        <v>0</v>
      </c>
      <c r="V600" s="39">
        <v>0.08</v>
      </c>
      <c r="W600" s="40">
        <v>44377</v>
      </c>
      <c r="X600" s="41">
        <f t="shared" si="221"/>
        <v>37</v>
      </c>
      <c r="Y600" s="42">
        <f t="shared" si="222"/>
        <v>3.0833333333333335</v>
      </c>
    </row>
    <row r="601" spans="1:25" x14ac:dyDescent="0.2">
      <c r="A601" s="52"/>
      <c r="B601" s="43" t="s">
        <v>574</v>
      </c>
      <c r="C601" s="89" t="s">
        <v>201</v>
      </c>
      <c r="D601" s="90" t="s">
        <v>51</v>
      </c>
      <c r="E601" s="46">
        <v>36872</v>
      </c>
      <c r="F601" s="124">
        <v>1685.3385960000003</v>
      </c>
      <c r="G601" s="226">
        <v>0</v>
      </c>
      <c r="H601" s="124"/>
      <c r="I601" s="124">
        <f t="shared" si="218"/>
        <v>16853.385960000003</v>
      </c>
      <c r="J601" s="124">
        <f t="shared" si="219"/>
        <v>4622.6430061714291</v>
      </c>
      <c r="K601" s="125">
        <f>F601/7*12+R601+R601</f>
        <v>3947.7918788571437</v>
      </c>
      <c r="L601" s="337"/>
      <c r="M601" s="462">
        <v>1560.4987000000001</v>
      </c>
      <c r="N601" s="87">
        <f t="shared" si="223"/>
        <v>1685.3385960000003</v>
      </c>
      <c r="O601" s="34">
        <v>70</v>
      </c>
      <c r="P601" s="34">
        <v>19.2</v>
      </c>
      <c r="Q601" s="51">
        <v>36872</v>
      </c>
      <c r="R601" s="36">
        <v>529.32000000000005</v>
      </c>
      <c r="S601" s="103">
        <f t="shared" si="220"/>
        <v>1685.3385960000003</v>
      </c>
      <c r="T601" s="38">
        <f t="shared" si="224"/>
        <v>1560.4987000000001</v>
      </c>
      <c r="U601" s="259">
        <v>0</v>
      </c>
      <c r="V601" s="39">
        <v>0.08</v>
      </c>
      <c r="W601" s="40">
        <v>44377</v>
      </c>
      <c r="X601" s="41">
        <f t="shared" si="221"/>
        <v>246</v>
      </c>
      <c r="Y601" s="42">
        <f t="shared" si="222"/>
        <v>20.5</v>
      </c>
    </row>
    <row r="602" spans="1:25" x14ac:dyDescent="0.2">
      <c r="A602" s="52"/>
      <c r="B602" s="43" t="s">
        <v>575</v>
      </c>
      <c r="C602" s="89" t="s">
        <v>576</v>
      </c>
      <c r="D602" s="90" t="s">
        <v>30</v>
      </c>
      <c r="E602" s="46">
        <v>39083</v>
      </c>
      <c r="F602" s="124">
        <v>2450.7271440000009</v>
      </c>
      <c r="G602" s="226">
        <v>0</v>
      </c>
      <c r="H602" s="124"/>
      <c r="I602" s="124">
        <f t="shared" si="218"/>
        <v>24507.271440000008</v>
      </c>
      <c r="J602" s="124">
        <f t="shared" si="219"/>
        <v>6721.9944521142879</v>
      </c>
      <c r="K602" s="125">
        <f>F602/7*12+R602+R602</f>
        <v>4974.5265325714308</v>
      </c>
      <c r="L602" s="337"/>
      <c r="M602" s="462">
        <v>2269.1918000000005</v>
      </c>
      <c r="N602" s="87">
        <f t="shared" si="223"/>
        <v>2450.7271440000009</v>
      </c>
      <c r="O602" s="34">
        <v>70</v>
      </c>
      <c r="P602" s="34">
        <v>19.2</v>
      </c>
      <c r="Q602" s="51">
        <v>39083</v>
      </c>
      <c r="R602" s="36">
        <v>386.64</v>
      </c>
      <c r="S602" s="103">
        <f t="shared" si="220"/>
        <v>2450.7271440000009</v>
      </c>
      <c r="T602" s="38">
        <f t="shared" si="224"/>
        <v>2269.1918000000005</v>
      </c>
      <c r="U602" s="259">
        <v>0</v>
      </c>
      <c r="V602" s="39">
        <v>0.08</v>
      </c>
      <c r="W602" s="40">
        <v>44377</v>
      </c>
      <c r="X602" s="41">
        <f t="shared" si="221"/>
        <v>173</v>
      </c>
      <c r="Y602" s="42">
        <f t="shared" si="222"/>
        <v>14.416666666666666</v>
      </c>
    </row>
    <row r="603" spans="1:25" ht="12.75" customHeight="1" x14ac:dyDescent="0.2">
      <c r="A603" s="52"/>
      <c r="B603" s="43" t="s">
        <v>577</v>
      </c>
      <c r="C603" s="89" t="s">
        <v>201</v>
      </c>
      <c r="D603" s="90" t="s">
        <v>51</v>
      </c>
      <c r="E603" s="46">
        <v>41965</v>
      </c>
      <c r="F603" s="124">
        <v>1468.9524960000003</v>
      </c>
      <c r="G603" s="226">
        <v>0</v>
      </c>
      <c r="H603" s="124"/>
      <c r="I603" s="124">
        <f t="shared" si="218"/>
        <v>14689.524960000002</v>
      </c>
      <c r="J603" s="124">
        <f t="shared" si="219"/>
        <v>4029.1268461714294</v>
      </c>
      <c r="K603" s="125">
        <f>F603/7*12+R603+R603</f>
        <v>3188.5242788571431</v>
      </c>
      <c r="L603" s="337"/>
      <c r="M603" s="462">
        <v>1360.1412000000003</v>
      </c>
      <c r="N603" s="87">
        <f t="shared" si="223"/>
        <v>1468.9524960000003</v>
      </c>
      <c r="O603" s="34">
        <v>70</v>
      </c>
      <c r="P603" s="34">
        <v>19.2</v>
      </c>
      <c r="Q603" s="51">
        <v>41965</v>
      </c>
      <c r="R603" s="36">
        <v>335.16</v>
      </c>
      <c r="S603" s="103">
        <f t="shared" si="220"/>
        <v>1468.9524960000003</v>
      </c>
      <c r="T603" s="38">
        <f t="shared" si="224"/>
        <v>1360.1412000000003</v>
      </c>
      <c r="U603" s="259">
        <v>0</v>
      </c>
      <c r="V603" s="39">
        <v>0.08</v>
      </c>
      <c r="W603" s="40">
        <v>44377</v>
      </c>
      <c r="X603" s="41">
        <f t="shared" si="221"/>
        <v>79</v>
      </c>
      <c r="Y603" s="42">
        <f t="shared" si="222"/>
        <v>6.583333333333333</v>
      </c>
    </row>
    <row r="604" spans="1:25" ht="13.5" thickBot="1" x14ac:dyDescent="0.25">
      <c r="B604" s="69"/>
      <c r="D604" s="6"/>
      <c r="E604" s="62"/>
      <c r="F604" s="198"/>
      <c r="G604" s="198"/>
      <c r="H604" s="198"/>
      <c r="I604" s="198"/>
      <c r="J604" s="198"/>
      <c r="K604" s="199"/>
      <c r="N604" s="64"/>
      <c r="Q604" s="111"/>
      <c r="S604" s="84"/>
      <c r="V604" s="66"/>
      <c r="W604" s="67"/>
      <c r="X604" s="68"/>
    </row>
    <row r="605" spans="1:25" ht="13.5" thickBot="1" x14ac:dyDescent="0.25">
      <c r="B605" s="69" t="s">
        <v>39</v>
      </c>
      <c r="C605" s="69" t="s">
        <v>40</v>
      </c>
      <c r="D605" s="70"/>
      <c r="E605" s="362" t="s">
        <v>494</v>
      </c>
      <c r="F605" s="231">
        <f t="shared" ref="F605:K605" si="227">SUM(F569:F604)</f>
        <v>72576.491292000021</v>
      </c>
      <c r="G605" s="231">
        <f t="shared" si="227"/>
        <v>0</v>
      </c>
      <c r="H605" s="231">
        <f t="shared" si="227"/>
        <v>0</v>
      </c>
      <c r="I605" s="231">
        <f t="shared" si="227"/>
        <v>725764.91292000015</v>
      </c>
      <c r="J605" s="231">
        <f t="shared" si="227"/>
        <v>187837.63886674278</v>
      </c>
      <c r="K605" s="388">
        <f t="shared" si="227"/>
        <v>112720.97408457146</v>
      </c>
      <c r="L605" s="73"/>
      <c r="M605" s="5" t="s">
        <v>42</v>
      </c>
      <c r="N605" s="64"/>
      <c r="Q605" s="111"/>
      <c r="S605" s="84"/>
      <c r="V605" s="66"/>
      <c r="W605" s="67"/>
      <c r="X605" s="68"/>
    </row>
    <row r="606" spans="1:25" ht="19.5" customHeight="1" thickBot="1" x14ac:dyDescent="0.25">
      <c r="B606" s="69" t="s">
        <v>43</v>
      </c>
      <c r="C606" s="69" t="s">
        <v>44</v>
      </c>
      <c r="E606" s="232" t="s">
        <v>46</v>
      </c>
      <c r="F606" s="233">
        <f>F605/7*365</f>
        <v>3784345.6173685729</v>
      </c>
      <c r="G606" s="233">
        <f>+G605*6</f>
        <v>0</v>
      </c>
      <c r="H606" s="233">
        <f>H605/7*365</f>
        <v>0</v>
      </c>
      <c r="I606" s="233">
        <f>I605</f>
        <v>725764.91292000015</v>
      </c>
      <c r="J606" s="393">
        <f>J605</f>
        <v>187837.63886674278</v>
      </c>
      <c r="K606" s="388">
        <f>K605</f>
        <v>112720.97408457146</v>
      </c>
      <c r="L606" s="73"/>
      <c r="M606" s="77">
        <f>SUM(F606:K606)</f>
        <v>4810669.1432398874</v>
      </c>
      <c r="N606" s="78"/>
      <c r="O606" s="80"/>
      <c r="P606" s="80"/>
      <c r="Q606" s="126"/>
      <c r="R606" s="81">
        <f>SUM(R569:R605)</f>
        <v>12802.759999999997</v>
      </c>
      <c r="S606" s="103">
        <f>M606*(1+V606)</f>
        <v>5195522.6746990783</v>
      </c>
      <c r="T606" s="77"/>
      <c r="U606" s="177">
        <f>SUM(U569:U605)</f>
        <v>0</v>
      </c>
      <c r="V606" s="82">
        <v>0.08</v>
      </c>
      <c r="W606" s="83"/>
      <c r="X606" s="178"/>
      <c r="Y606" s="179"/>
    </row>
    <row r="607" spans="1:25" x14ac:dyDescent="0.2">
      <c r="B607" s="69"/>
      <c r="N607" s="64"/>
      <c r="Q607" s="383"/>
      <c r="S607" s="84"/>
      <c r="V607" s="66"/>
      <c r="W607" s="67"/>
      <c r="X607" s="68"/>
    </row>
    <row r="608" spans="1:25" ht="15" x14ac:dyDescent="0.25">
      <c r="B608" s="476"/>
      <c r="C608" s="476"/>
      <c r="D608" s="13" t="s">
        <v>639</v>
      </c>
      <c r="E608" s="13"/>
      <c r="F608" s="13"/>
      <c r="G608" s="13"/>
      <c r="H608" s="13"/>
      <c r="I608" s="14"/>
      <c r="J608" s="476"/>
      <c r="K608" s="476"/>
      <c r="L608" s="15"/>
      <c r="N608" s="64"/>
      <c r="Q608" s="206"/>
      <c r="S608" s="84"/>
      <c r="V608" s="66"/>
      <c r="W608" s="67"/>
      <c r="X608" s="68"/>
    </row>
    <row r="609" spans="1:25" ht="15" x14ac:dyDescent="0.25">
      <c r="B609" s="16" t="s">
        <v>4</v>
      </c>
      <c r="C609" s="16"/>
      <c r="D609" s="13" t="s">
        <v>578</v>
      </c>
      <c r="E609" s="13"/>
      <c r="F609" s="14"/>
      <c r="G609" s="14"/>
      <c r="H609" s="476"/>
      <c r="I609" s="476"/>
      <c r="J609" s="14"/>
      <c r="K609" s="17"/>
      <c r="L609" s="18"/>
      <c r="N609" s="64"/>
      <c r="Q609" s="206"/>
      <c r="S609" s="84"/>
      <c r="V609" s="66"/>
      <c r="W609" s="67"/>
      <c r="X609" s="68"/>
    </row>
    <row r="610" spans="1:25" ht="15.75" thickBot="1" x14ac:dyDescent="0.3">
      <c r="B610" s="18"/>
      <c r="C610" s="18"/>
      <c r="D610" s="245"/>
      <c r="E610" s="245"/>
      <c r="F610" s="15"/>
      <c r="G610" s="15"/>
      <c r="H610" s="15"/>
      <c r="I610" s="15"/>
      <c r="J610" s="15"/>
      <c r="K610" s="116"/>
      <c r="L610" s="18"/>
      <c r="N610" s="64"/>
      <c r="Q610" s="206"/>
      <c r="S610" s="84"/>
      <c r="V610" s="66"/>
      <c r="W610" s="67"/>
      <c r="X610" s="68"/>
    </row>
    <row r="611" spans="1:25" ht="12.75" customHeight="1" x14ac:dyDescent="0.2">
      <c r="B611" s="503" t="s">
        <v>6</v>
      </c>
      <c r="C611" s="499" t="s">
        <v>7</v>
      </c>
      <c r="D611" s="499" t="s">
        <v>8</v>
      </c>
      <c r="E611" s="499" t="s">
        <v>9</v>
      </c>
      <c r="F611" s="507" t="s">
        <v>340</v>
      </c>
      <c r="G611" s="483" t="s">
        <v>11</v>
      </c>
      <c r="H611" s="483" t="s">
        <v>12</v>
      </c>
      <c r="I611" s="499" t="s">
        <v>13</v>
      </c>
      <c r="J611" s="511" t="s">
        <v>14</v>
      </c>
      <c r="K611" s="513" t="s">
        <v>15</v>
      </c>
      <c r="L611" s="23"/>
      <c r="M611" s="495" t="s">
        <v>16</v>
      </c>
      <c r="N611" s="495" t="s">
        <v>17</v>
      </c>
      <c r="O611" s="489" t="s">
        <v>18</v>
      </c>
      <c r="P611" s="489" t="s">
        <v>19</v>
      </c>
      <c r="Q611" s="489" t="s">
        <v>20</v>
      </c>
      <c r="R611" s="490" t="s">
        <v>21</v>
      </c>
      <c r="S611" s="495" t="s">
        <v>22</v>
      </c>
      <c r="T611" s="495" t="s">
        <v>16</v>
      </c>
      <c r="U611" s="498" t="s">
        <v>23</v>
      </c>
      <c r="V611" s="498" t="s">
        <v>24</v>
      </c>
      <c r="W611" s="489" t="s">
        <v>25</v>
      </c>
      <c r="X611" s="489" t="s">
        <v>26</v>
      </c>
      <c r="Y611" s="497" t="s">
        <v>27</v>
      </c>
    </row>
    <row r="612" spans="1:25" ht="13.5" customHeight="1" thickBot="1" x14ac:dyDescent="0.25">
      <c r="B612" s="504"/>
      <c r="C612" s="500"/>
      <c r="D612" s="500"/>
      <c r="E612" s="500"/>
      <c r="F612" s="508"/>
      <c r="G612" s="484"/>
      <c r="H612" s="484"/>
      <c r="I612" s="500"/>
      <c r="J612" s="512"/>
      <c r="K612" s="514"/>
      <c r="L612" s="23"/>
      <c r="M612" s="495"/>
      <c r="N612" s="495"/>
      <c r="O612" s="489"/>
      <c r="P612" s="489"/>
      <c r="Q612" s="489"/>
      <c r="R612" s="490"/>
      <c r="S612" s="495"/>
      <c r="T612" s="495"/>
      <c r="U612" s="498"/>
      <c r="V612" s="498"/>
      <c r="W612" s="489"/>
      <c r="X612" s="489"/>
      <c r="Y612" s="497"/>
    </row>
    <row r="613" spans="1:25" ht="13.5" thickBot="1" x14ac:dyDescent="0.25">
      <c r="D613" s="6"/>
      <c r="I613" s="98"/>
      <c r="J613" s="98"/>
      <c r="K613" s="180"/>
      <c r="N613" s="64"/>
      <c r="S613" s="84"/>
      <c r="V613" s="66"/>
      <c r="W613" s="67"/>
      <c r="X613" s="68"/>
    </row>
    <row r="614" spans="1:25" x14ac:dyDescent="0.2">
      <c r="A614" s="52"/>
      <c r="B614" s="25" t="s">
        <v>579</v>
      </c>
      <c r="C614" s="26" t="s">
        <v>158</v>
      </c>
      <c r="D614" s="27" t="s">
        <v>51</v>
      </c>
      <c r="E614" s="28">
        <v>36335</v>
      </c>
      <c r="F614" s="29">
        <v>1723.6698480000005</v>
      </c>
      <c r="G614" s="29">
        <v>0</v>
      </c>
      <c r="H614" s="29"/>
      <c r="I614" s="394">
        <f t="shared" ref="I614:I635" si="228">F614/7*O614</f>
        <v>17236.698480000003</v>
      </c>
      <c r="J614" s="394">
        <f t="shared" ref="J614:J635" si="229">F614/7*P614</f>
        <v>4727.7801545142866</v>
      </c>
      <c r="K614" s="30">
        <f>F614/7*12+R614+R614</f>
        <v>4329.4625965714295</v>
      </c>
      <c r="L614" s="302"/>
      <c r="M614" s="460">
        <v>1595.9906000000003</v>
      </c>
      <c r="N614" s="87">
        <f>M614*(1+8%)</f>
        <v>1723.6698480000005</v>
      </c>
      <c r="O614" s="34">
        <v>70</v>
      </c>
      <c r="P614" s="34">
        <v>19.2</v>
      </c>
      <c r="Q614" s="35">
        <v>36335</v>
      </c>
      <c r="R614" s="36">
        <v>687.3</v>
      </c>
      <c r="S614" s="103">
        <f t="shared" ref="S614:S635" si="230">M614*(1+V614)</f>
        <v>1723.6698480000005</v>
      </c>
      <c r="T614" s="38">
        <f>S614/1.08</f>
        <v>1595.9906000000003</v>
      </c>
      <c r="U614" s="259">
        <v>0</v>
      </c>
      <c r="V614" s="39">
        <v>0.08</v>
      </c>
      <c r="W614" s="40">
        <v>44377</v>
      </c>
      <c r="X614" s="41">
        <f t="shared" ref="X614:X635" si="231">(YEAR(W614)-YEAR(E614))*12+MONTH(W614)-MONTH(E614)</f>
        <v>264</v>
      </c>
      <c r="Y614" s="42">
        <f t="shared" ref="Y614:Y635" si="232">X614/12</f>
        <v>22</v>
      </c>
    </row>
    <row r="615" spans="1:25" x14ac:dyDescent="0.2">
      <c r="A615" s="52"/>
      <c r="B615" s="88" t="s">
        <v>580</v>
      </c>
      <c r="C615" s="89" t="s">
        <v>581</v>
      </c>
      <c r="D615" s="90" t="s">
        <v>30</v>
      </c>
      <c r="E615" s="91">
        <v>43525</v>
      </c>
      <c r="F615" s="124">
        <v>2922.5124000000005</v>
      </c>
      <c r="G615" s="124">
        <v>0</v>
      </c>
      <c r="H615" s="124"/>
      <c r="I615" s="47">
        <f t="shared" si="228"/>
        <v>29225.124000000003</v>
      </c>
      <c r="J615" s="47">
        <f t="shared" si="229"/>
        <v>6012.0255085714298</v>
      </c>
      <c r="K615" s="125"/>
      <c r="L615" s="302"/>
      <c r="M615" s="460">
        <v>2706.03</v>
      </c>
      <c r="N615" s="87">
        <f t="shared" ref="N615:N635" si="233">M615*(1+8%)</f>
        <v>2922.5124000000005</v>
      </c>
      <c r="O615" s="34">
        <v>70</v>
      </c>
      <c r="P615" s="34">
        <v>14.4</v>
      </c>
      <c r="Q615" s="35">
        <v>43525</v>
      </c>
      <c r="R615" s="36">
        <v>0</v>
      </c>
      <c r="S615" s="103">
        <f t="shared" si="230"/>
        <v>2922.5124000000005</v>
      </c>
      <c r="T615" s="38">
        <f t="shared" ref="T615:T635" si="234">S615/1.08</f>
        <v>2706.03</v>
      </c>
      <c r="U615" s="259">
        <v>0</v>
      </c>
      <c r="V615" s="39">
        <v>0.08</v>
      </c>
      <c r="W615" s="40">
        <v>44377</v>
      </c>
      <c r="X615" s="41">
        <f t="shared" si="231"/>
        <v>27</v>
      </c>
      <c r="Y615" s="42">
        <f t="shared" si="232"/>
        <v>2.25</v>
      </c>
    </row>
    <row r="616" spans="1:25" x14ac:dyDescent="0.2">
      <c r="A616" s="52"/>
      <c r="B616" s="43" t="s">
        <v>582</v>
      </c>
      <c r="C616" s="105" t="s">
        <v>551</v>
      </c>
      <c r="D616" s="213" t="s">
        <v>51</v>
      </c>
      <c r="E616" s="46">
        <v>39479</v>
      </c>
      <c r="F616" s="47">
        <v>3709.4760000000006</v>
      </c>
      <c r="G616" s="48">
        <v>0</v>
      </c>
      <c r="H616" s="47"/>
      <c r="I616" s="47">
        <f t="shared" si="228"/>
        <v>37094.760000000009</v>
      </c>
      <c r="J616" s="47">
        <f t="shared" si="229"/>
        <v>10174.562742857144</v>
      </c>
      <c r="K616" s="49">
        <f>F616/7*12+R616+R616</f>
        <v>7132.381714285717</v>
      </c>
      <c r="L616" s="129"/>
      <c r="M616" s="460">
        <v>3434.7000000000003</v>
      </c>
      <c r="N616" s="87">
        <f t="shared" si="233"/>
        <v>3709.4760000000006</v>
      </c>
      <c r="O616" s="34">
        <v>70</v>
      </c>
      <c r="P616" s="34">
        <v>19.2</v>
      </c>
      <c r="Q616" s="51">
        <v>39479</v>
      </c>
      <c r="R616" s="36">
        <v>386.64</v>
      </c>
      <c r="S616" s="103">
        <f t="shared" si="230"/>
        <v>3709.4760000000006</v>
      </c>
      <c r="T616" s="38">
        <f t="shared" si="234"/>
        <v>3434.7000000000003</v>
      </c>
      <c r="U616" s="259">
        <v>0</v>
      </c>
      <c r="V616" s="39">
        <v>0.08</v>
      </c>
      <c r="W616" s="40">
        <v>44377</v>
      </c>
      <c r="X616" s="41">
        <f t="shared" si="231"/>
        <v>160</v>
      </c>
      <c r="Y616" s="42">
        <f t="shared" si="232"/>
        <v>13.333333333333334</v>
      </c>
    </row>
    <row r="617" spans="1:25" x14ac:dyDescent="0.2">
      <c r="A617" s="52"/>
      <c r="B617" s="43" t="s">
        <v>583</v>
      </c>
      <c r="C617" s="105" t="s">
        <v>584</v>
      </c>
      <c r="D617" s="213" t="s">
        <v>30</v>
      </c>
      <c r="E617" s="46">
        <v>43808</v>
      </c>
      <c r="F617" s="47">
        <v>1733.4</v>
      </c>
      <c r="G617" s="48">
        <v>0</v>
      </c>
      <c r="H617" s="47"/>
      <c r="I617" s="47">
        <f t="shared" si="228"/>
        <v>17334</v>
      </c>
      <c r="J617" s="47">
        <f t="shared" si="229"/>
        <v>3565.8514285714286</v>
      </c>
      <c r="K617" s="49">
        <v>0</v>
      </c>
      <c r="L617" s="129"/>
      <c r="M617" s="460">
        <v>1605</v>
      </c>
      <c r="N617" s="87">
        <f t="shared" si="233"/>
        <v>1733.4</v>
      </c>
      <c r="O617" s="34">
        <v>70</v>
      </c>
      <c r="P617" s="34">
        <v>14.4</v>
      </c>
      <c r="Q617" s="51">
        <v>43808</v>
      </c>
      <c r="R617" s="36">
        <v>0</v>
      </c>
      <c r="S617" s="103">
        <f t="shared" si="230"/>
        <v>1733.4</v>
      </c>
      <c r="T617" s="38">
        <f t="shared" si="234"/>
        <v>1605</v>
      </c>
      <c r="U617" s="259">
        <v>0</v>
      </c>
      <c r="V617" s="39">
        <v>0.08</v>
      </c>
      <c r="W617" s="40">
        <v>44377</v>
      </c>
      <c r="X617" s="41">
        <f t="shared" si="231"/>
        <v>18</v>
      </c>
      <c r="Y617" s="42">
        <f t="shared" si="232"/>
        <v>1.5</v>
      </c>
    </row>
    <row r="618" spans="1:25" x14ac:dyDescent="0.2">
      <c r="A618" s="52"/>
      <c r="B618" s="104" t="s">
        <v>585</v>
      </c>
      <c r="C618" s="105" t="s">
        <v>584</v>
      </c>
      <c r="D618" s="45" t="s">
        <v>51</v>
      </c>
      <c r="E618" s="106">
        <v>41412</v>
      </c>
      <c r="F618" s="47">
        <v>2318.4225000000006</v>
      </c>
      <c r="G618" s="47">
        <v>0</v>
      </c>
      <c r="H618" s="47"/>
      <c r="I618" s="47">
        <f t="shared" si="228"/>
        <v>23184.225000000006</v>
      </c>
      <c r="J618" s="47">
        <f t="shared" si="229"/>
        <v>6359.1017142857154</v>
      </c>
      <c r="K618" s="49">
        <f t="shared" ref="K618:K626" si="235">F618/7*12+R618+R618</f>
        <v>4644.7585714285724</v>
      </c>
      <c r="L618" s="31"/>
      <c r="M618" s="460">
        <v>2146.6875000000005</v>
      </c>
      <c r="N618" s="87">
        <f t="shared" si="233"/>
        <v>2318.4225000000006</v>
      </c>
      <c r="O618" s="34">
        <v>70</v>
      </c>
      <c r="P618" s="34">
        <v>19.2</v>
      </c>
      <c r="Q618" s="35">
        <v>41412</v>
      </c>
      <c r="R618" s="36">
        <v>335.16</v>
      </c>
      <c r="S618" s="103">
        <f t="shared" si="230"/>
        <v>2318.4225000000006</v>
      </c>
      <c r="T618" s="38">
        <f t="shared" si="234"/>
        <v>2146.6875000000005</v>
      </c>
      <c r="U618" s="259">
        <v>0</v>
      </c>
      <c r="V618" s="39">
        <v>0.08</v>
      </c>
      <c r="W618" s="40">
        <v>44377</v>
      </c>
      <c r="X618" s="41">
        <f t="shared" si="231"/>
        <v>97</v>
      </c>
      <c r="Y618" s="42">
        <f t="shared" si="232"/>
        <v>8.0833333333333339</v>
      </c>
    </row>
    <row r="619" spans="1:25" x14ac:dyDescent="0.2">
      <c r="A619" s="52"/>
      <c r="B619" s="104" t="s">
        <v>586</v>
      </c>
      <c r="C619" s="105" t="s">
        <v>587</v>
      </c>
      <c r="D619" s="45" t="s">
        <v>51</v>
      </c>
      <c r="E619" s="106">
        <v>35065</v>
      </c>
      <c r="F619" s="47">
        <v>3023.2229400000006</v>
      </c>
      <c r="G619" s="47">
        <v>0</v>
      </c>
      <c r="H619" s="47">
        <v>1500</v>
      </c>
      <c r="I619" s="47">
        <f t="shared" si="228"/>
        <v>30232.229400000004</v>
      </c>
      <c r="J619" s="47">
        <f t="shared" si="229"/>
        <v>8292.2686354285725</v>
      </c>
      <c r="K619" s="49">
        <f t="shared" si="235"/>
        <v>6937.6678971428582</v>
      </c>
      <c r="L619" s="31"/>
      <c r="M619" s="460">
        <v>2799.2805000000003</v>
      </c>
      <c r="N619" s="87">
        <f t="shared" si="233"/>
        <v>3023.2229400000006</v>
      </c>
      <c r="O619" s="34">
        <v>70</v>
      </c>
      <c r="P619" s="34">
        <v>19.2</v>
      </c>
      <c r="Q619" s="35">
        <v>35065</v>
      </c>
      <c r="R619" s="36">
        <v>877.5</v>
      </c>
      <c r="S619" s="103">
        <f t="shared" si="230"/>
        <v>3023.2229400000006</v>
      </c>
      <c r="T619" s="38">
        <f t="shared" si="234"/>
        <v>2799.2805000000003</v>
      </c>
      <c r="U619" s="259">
        <v>0</v>
      </c>
      <c r="V619" s="39">
        <v>0.08</v>
      </c>
      <c r="W619" s="40">
        <v>44377</v>
      </c>
      <c r="X619" s="41">
        <f t="shared" si="231"/>
        <v>305</v>
      </c>
      <c r="Y619" s="42">
        <f t="shared" si="232"/>
        <v>25.416666666666668</v>
      </c>
    </row>
    <row r="620" spans="1:25" x14ac:dyDescent="0.2">
      <c r="A620" s="52"/>
      <c r="B620" s="104" t="s">
        <v>588</v>
      </c>
      <c r="C620" s="105" t="s">
        <v>201</v>
      </c>
      <c r="D620" s="45" t="s">
        <v>51</v>
      </c>
      <c r="E620" s="106">
        <v>36443</v>
      </c>
      <c r="F620" s="47">
        <v>1723.6698480000005</v>
      </c>
      <c r="G620" s="47">
        <v>0</v>
      </c>
      <c r="H620" s="47"/>
      <c r="I620" s="47">
        <f t="shared" si="228"/>
        <v>17236.698480000003</v>
      </c>
      <c r="J620" s="47">
        <f t="shared" si="229"/>
        <v>4727.7801545142866</v>
      </c>
      <c r="K620" s="49">
        <f t="shared" si="235"/>
        <v>4329.4625965714295</v>
      </c>
      <c r="L620" s="31"/>
      <c r="M620" s="460">
        <v>1595.9906000000003</v>
      </c>
      <c r="N620" s="87">
        <f t="shared" si="233"/>
        <v>1723.6698480000005</v>
      </c>
      <c r="O620" s="34">
        <v>70</v>
      </c>
      <c r="P620" s="34">
        <v>19.2</v>
      </c>
      <c r="Q620" s="35">
        <v>36443</v>
      </c>
      <c r="R620" s="36">
        <v>687.3</v>
      </c>
      <c r="S620" s="103">
        <f t="shared" si="230"/>
        <v>1723.6698480000005</v>
      </c>
      <c r="T620" s="38">
        <f t="shared" si="234"/>
        <v>1595.9906000000003</v>
      </c>
      <c r="U620" s="259">
        <v>0</v>
      </c>
      <c r="V620" s="39">
        <v>0.08</v>
      </c>
      <c r="W620" s="40">
        <v>44377</v>
      </c>
      <c r="X620" s="41">
        <f t="shared" si="231"/>
        <v>260</v>
      </c>
      <c r="Y620" s="42">
        <f t="shared" si="232"/>
        <v>21.666666666666668</v>
      </c>
    </row>
    <row r="621" spans="1:25" x14ac:dyDescent="0.2">
      <c r="A621" s="52"/>
      <c r="B621" s="104" t="s">
        <v>589</v>
      </c>
      <c r="C621" s="105" t="s">
        <v>201</v>
      </c>
      <c r="D621" s="45" t="s">
        <v>51</v>
      </c>
      <c r="E621" s="106">
        <v>35534</v>
      </c>
      <c r="F621" s="47">
        <v>1723.6698480000005</v>
      </c>
      <c r="G621" s="47">
        <v>0</v>
      </c>
      <c r="H621" s="47"/>
      <c r="I621" s="47">
        <f t="shared" si="228"/>
        <v>17236.698480000003</v>
      </c>
      <c r="J621" s="47">
        <f t="shared" si="229"/>
        <v>4727.7801545142866</v>
      </c>
      <c r="K621" s="49">
        <f t="shared" si="235"/>
        <v>4329.4625965714295</v>
      </c>
      <c r="L621" s="31"/>
      <c r="M621" s="460">
        <v>1595.9906000000003</v>
      </c>
      <c r="N621" s="87">
        <f t="shared" si="233"/>
        <v>1723.6698480000005</v>
      </c>
      <c r="O621" s="34">
        <v>70</v>
      </c>
      <c r="P621" s="34">
        <v>19.2</v>
      </c>
      <c r="Q621" s="35">
        <v>35534</v>
      </c>
      <c r="R621" s="36">
        <v>687.3</v>
      </c>
      <c r="S621" s="103">
        <f t="shared" si="230"/>
        <v>1723.6698480000005</v>
      </c>
      <c r="T621" s="38">
        <f t="shared" si="234"/>
        <v>1595.9906000000003</v>
      </c>
      <c r="U621" s="259">
        <v>0</v>
      </c>
      <c r="V621" s="39">
        <v>0.08</v>
      </c>
      <c r="W621" s="40">
        <v>44377</v>
      </c>
      <c r="X621" s="41">
        <f t="shared" si="231"/>
        <v>290</v>
      </c>
      <c r="Y621" s="42">
        <f t="shared" si="232"/>
        <v>24.166666666666668</v>
      </c>
    </row>
    <row r="622" spans="1:25" x14ac:dyDescent="0.2">
      <c r="A622" s="52"/>
      <c r="B622" s="104" t="s">
        <v>590</v>
      </c>
      <c r="C622" s="105" t="s">
        <v>201</v>
      </c>
      <c r="D622" s="45" t="s">
        <v>51</v>
      </c>
      <c r="E622" s="106">
        <v>41965</v>
      </c>
      <c r="F622" s="47">
        <v>1854.7380000000003</v>
      </c>
      <c r="G622" s="47">
        <v>0</v>
      </c>
      <c r="H622" s="47"/>
      <c r="I622" s="47">
        <f t="shared" si="228"/>
        <v>18547.380000000005</v>
      </c>
      <c r="J622" s="47">
        <f t="shared" si="229"/>
        <v>5087.2813714285721</v>
      </c>
      <c r="K622" s="49">
        <f t="shared" si="235"/>
        <v>3849.8708571428579</v>
      </c>
      <c r="L622" s="31"/>
      <c r="M622" s="460">
        <v>1717.3500000000001</v>
      </c>
      <c r="N622" s="87">
        <f t="shared" si="233"/>
        <v>1854.7380000000003</v>
      </c>
      <c r="O622" s="34">
        <v>70</v>
      </c>
      <c r="P622" s="34">
        <v>19.2</v>
      </c>
      <c r="Q622" s="35">
        <v>41965</v>
      </c>
      <c r="R622" s="36">
        <v>335.16</v>
      </c>
      <c r="S622" s="103">
        <f t="shared" si="230"/>
        <v>1854.7380000000003</v>
      </c>
      <c r="T622" s="38">
        <f t="shared" si="234"/>
        <v>1717.3500000000001</v>
      </c>
      <c r="U622" s="259">
        <v>0</v>
      </c>
      <c r="V622" s="39">
        <v>0.08</v>
      </c>
      <c r="W622" s="40">
        <v>44377</v>
      </c>
      <c r="X622" s="41">
        <f t="shared" si="231"/>
        <v>79</v>
      </c>
      <c r="Y622" s="42">
        <f t="shared" si="232"/>
        <v>6.583333333333333</v>
      </c>
    </row>
    <row r="623" spans="1:25" x14ac:dyDescent="0.2">
      <c r="A623" s="52"/>
      <c r="B623" s="104" t="s">
        <v>591</v>
      </c>
      <c r="C623" s="105" t="s">
        <v>158</v>
      </c>
      <c r="D623" s="45" t="s">
        <v>30</v>
      </c>
      <c r="E623" s="106">
        <v>41965</v>
      </c>
      <c r="F623" s="47">
        <v>3214.8792000000003</v>
      </c>
      <c r="G623" s="47">
        <v>0</v>
      </c>
      <c r="H623" s="47"/>
      <c r="I623" s="47">
        <f t="shared" si="228"/>
        <v>32148.792000000001</v>
      </c>
      <c r="J623" s="47">
        <f t="shared" si="229"/>
        <v>8817.954377142858</v>
      </c>
      <c r="K623" s="49">
        <f t="shared" si="235"/>
        <v>6181.541485714286</v>
      </c>
      <c r="L623" s="31"/>
      <c r="M623" s="460">
        <v>2976.7400000000002</v>
      </c>
      <c r="N623" s="87">
        <f t="shared" si="233"/>
        <v>3214.8792000000003</v>
      </c>
      <c r="O623" s="34">
        <v>70</v>
      </c>
      <c r="P623" s="34">
        <v>19.2</v>
      </c>
      <c r="Q623" s="35">
        <v>41965</v>
      </c>
      <c r="R623" s="36">
        <v>335.16</v>
      </c>
      <c r="S623" s="103">
        <f t="shared" si="230"/>
        <v>3214.8792000000003</v>
      </c>
      <c r="T623" s="38">
        <f t="shared" si="234"/>
        <v>2976.7400000000002</v>
      </c>
      <c r="U623" s="259">
        <v>0</v>
      </c>
      <c r="V623" s="39">
        <v>0.08</v>
      </c>
      <c r="W623" s="40">
        <v>44377</v>
      </c>
      <c r="X623" s="41">
        <f t="shared" si="231"/>
        <v>79</v>
      </c>
      <c r="Y623" s="42">
        <f t="shared" si="232"/>
        <v>6.583333333333333</v>
      </c>
    </row>
    <row r="624" spans="1:25" x14ac:dyDescent="0.2">
      <c r="A624" s="52"/>
      <c r="B624" s="104" t="s">
        <v>592</v>
      </c>
      <c r="C624" s="105" t="s">
        <v>334</v>
      </c>
      <c r="D624" s="45" t="s">
        <v>30</v>
      </c>
      <c r="E624" s="106">
        <v>33543</v>
      </c>
      <c r="F624" s="47">
        <v>2372.8281480000001</v>
      </c>
      <c r="G624" s="47">
        <v>0</v>
      </c>
      <c r="H624" s="47"/>
      <c r="I624" s="47">
        <f t="shared" si="228"/>
        <v>23728.281480000001</v>
      </c>
      <c r="J624" s="47">
        <f t="shared" si="229"/>
        <v>6508.328634514286</v>
      </c>
      <c r="K624" s="49">
        <f t="shared" si="235"/>
        <v>5822.7053965714285</v>
      </c>
      <c r="L624" s="31"/>
      <c r="M624" s="460">
        <v>2197.0630999999998</v>
      </c>
      <c r="N624" s="87">
        <f t="shared" si="233"/>
        <v>2372.8281480000001</v>
      </c>
      <c r="O624" s="34">
        <v>70</v>
      </c>
      <c r="P624" s="34">
        <v>19.2</v>
      </c>
      <c r="Q624" s="35">
        <v>33543</v>
      </c>
      <c r="R624" s="36">
        <v>877.5</v>
      </c>
      <c r="S624" s="103">
        <f t="shared" si="230"/>
        <v>2372.8281480000001</v>
      </c>
      <c r="T624" s="38">
        <f t="shared" si="234"/>
        <v>2197.0630999999998</v>
      </c>
      <c r="U624" s="259">
        <v>0</v>
      </c>
      <c r="V624" s="39">
        <v>0.08</v>
      </c>
      <c r="W624" s="40">
        <v>44377</v>
      </c>
      <c r="X624" s="41">
        <f t="shared" si="231"/>
        <v>355</v>
      </c>
      <c r="Y624" s="42">
        <f t="shared" si="232"/>
        <v>29.583333333333332</v>
      </c>
    </row>
    <row r="625" spans="1:25" x14ac:dyDescent="0.2">
      <c r="A625" s="52"/>
      <c r="B625" s="104" t="s">
        <v>593</v>
      </c>
      <c r="C625" s="105" t="s">
        <v>334</v>
      </c>
      <c r="D625" s="45" t="s">
        <v>51</v>
      </c>
      <c r="E625" s="106">
        <v>35502</v>
      </c>
      <c r="F625" s="47">
        <v>2346.8618160000005</v>
      </c>
      <c r="G625" s="47">
        <v>0</v>
      </c>
      <c r="H625" s="47"/>
      <c r="I625" s="47">
        <f t="shared" si="228"/>
        <v>23468.618160000005</v>
      </c>
      <c r="J625" s="47">
        <f t="shared" si="229"/>
        <v>6437.1066953142872</v>
      </c>
      <c r="K625" s="49">
        <f t="shared" si="235"/>
        <v>5397.7916845714299</v>
      </c>
      <c r="L625" s="31"/>
      <c r="M625" s="460">
        <v>2173.0202000000004</v>
      </c>
      <c r="N625" s="87">
        <f t="shared" si="233"/>
        <v>2346.8618160000005</v>
      </c>
      <c r="O625" s="34">
        <v>70</v>
      </c>
      <c r="P625" s="34">
        <v>19.2</v>
      </c>
      <c r="Q625" s="35">
        <v>35502</v>
      </c>
      <c r="R625" s="36">
        <v>687.3</v>
      </c>
      <c r="S625" s="103">
        <f t="shared" si="230"/>
        <v>2346.8618160000005</v>
      </c>
      <c r="T625" s="38">
        <f t="shared" si="234"/>
        <v>2173.0202000000004</v>
      </c>
      <c r="U625" s="259">
        <v>0</v>
      </c>
      <c r="V625" s="39">
        <v>0.08</v>
      </c>
      <c r="W625" s="40">
        <v>44377</v>
      </c>
      <c r="X625" s="41">
        <f t="shared" si="231"/>
        <v>291</v>
      </c>
      <c r="Y625" s="42">
        <f t="shared" si="232"/>
        <v>24.25</v>
      </c>
    </row>
    <row r="626" spans="1:25" x14ac:dyDescent="0.2">
      <c r="A626" s="52"/>
      <c r="B626" s="164" t="s">
        <v>594</v>
      </c>
      <c r="C626" s="105" t="s">
        <v>551</v>
      </c>
      <c r="D626" s="45" t="s">
        <v>51</v>
      </c>
      <c r="E626" s="46">
        <v>33970</v>
      </c>
      <c r="F626" s="47">
        <v>2855.0600280000003</v>
      </c>
      <c r="G626" s="47">
        <v>0</v>
      </c>
      <c r="H626" s="47"/>
      <c r="I626" s="47">
        <f t="shared" si="228"/>
        <v>28550.600280000002</v>
      </c>
      <c r="J626" s="47">
        <f t="shared" si="229"/>
        <v>7831.0217910857145</v>
      </c>
      <c r="K626" s="49">
        <f t="shared" si="235"/>
        <v>6649.3886194285715</v>
      </c>
      <c r="L626" s="50"/>
      <c r="M626" s="460">
        <v>2643.5741000000003</v>
      </c>
      <c r="N626" s="87">
        <f t="shared" si="233"/>
        <v>2855.0600280000003</v>
      </c>
      <c r="O626" s="34">
        <v>70</v>
      </c>
      <c r="P626" s="34">
        <v>19.2</v>
      </c>
      <c r="Q626" s="51">
        <v>33970</v>
      </c>
      <c r="R626" s="36">
        <v>877.5</v>
      </c>
      <c r="S626" s="103">
        <f t="shared" si="230"/>
        <v>2855.0600280000003</v>
      </c>
      <c r="T626" s="38">
        <f t="shared" si="234"/>
        <v>2643.5741000000003</v>
      </c>
      <c r="U626" s="259">
        <v>0</v>
      </c>
      <c r="V626" s="39">
        <v>0.08</v>
      </c>
      <c r="W626" s="40">
        <v>44377</v>
      </c>
      <c r="X626" s="41">
        <f t="shared" si="231"/>
        <v>341</v>
      </c>
      <c r="Y626" s="42">
        <f t="shared" si="232"/>
        <v>28.416666666666668</v>
      </c>
    </row>
    <row r="627" spans="1:25" x14ac:dyDescent="0.2">
      <c r="A627" s="52"/>
      <c r="B627" s="43" t="s">
        <v>595</v>
      </c>
      <c r="C627" s="105" t="s">
        <v>596</v>
      </c>
      <c r="D627" s="45" t="s">
        <v>51</v>
      </c>
      <c r="E627" s="46">
        <v>43252</v>
      </c>
      <c r="F627" s="47">
        <v>3439.9207440000009</v>
      </c>
      <c r="G627" s="47">
        <v>0</v>
      </c>
      <c r="H627" s="47"/>
      <c r="I627" s="47">
        <f t="shared" si="228"/>
        <v>34399.207440000006</v>
      </c>
      <c r="J627" s="47">
        <f t="shared" si="229"/>
        <v>8255.8097856000022</v>
      </c>
      <c r="K627" s="49">
        <v>0</v>
      </c>
      <c r="L627" s="50"/>
      <c r="M627" s="460">
        <v>3185.1118000000006</v>
      </c>
      <c r="N627" s="87">
        <f t="shared" si="233"/>
        <v>3439.9207440000009</v>
      </c>
      <c r="O627" s="34">
        <v>70</v>
      </c>
      <c r="P627" s="34">
        <v>16.8</v>
      </c>
      <c r="Q627" s="51">
        <v>43252</v>
      </c>
      <c r="R627" s="36">
        <v>0</v>
      </c>
      <c r="S627" s="103">
        <f t="shared" si="230"/>
        <v>3439.9207440000009</v>
      </c>
      <c r="T627" s="38">
        <f t="shared" si="234"/>
        <v>3185.1118000000006</v>
      </c>
      <c r="U627" s="259">
        <v>0</v>
      </c>
      <c r="V627" s="39">
        <v>0.08</v>
      </c>
      <c r="W627" s="40">
        <v>44377</v>
      </c>
      <c r="X627" s="41">
        <f t="shared" si="231"/>
        <v>36</v>
      </c>
      <c r="Y627" s="42">
        <f t="shared" si="232"/>
        <v>3</v>
      </c>
    </row>
    <row r="628" spans="1:25" x14ac:dyDescent="0.2">
      <c r="A628" s="52"/>
      <c r="B628" s="43" t="s">
        <v>597</v>
      </c>
      <c r="C628" s="105" t="s">
        <v>140</v>
      </c>
      <c r="D628" s="45" t="s">
        <v>30</v>
      </c>
      <c r="E628" s="46">
        <v>43472</v>
      </c>
      <c r="F628" s="47">
        <v>3091.23</v>
      </c>
      <c r="G628" s="47">
        <v>0</v>
      </c>
      <c r="H628" s="47"/>
      <c r="I628" s="47">
        <f t="shared" si="228"/>
        <v>30912.3</v>
      </c>
      <c r="J628" s="47">
        <f t="shared" si="229"/>
        <v>6359.1017142857145</v>
      </c>
      <c r="K628" s="49">
        <v>0</v>
      </c>
      <c r="L628" s="50"/>
      <c r="M628" s="460">
        <v>2862.25</v>
      </c>
      <c r="N628" s="87">
        <f t="shared" si="233"/>
        <v>3091.23</v>
      </c>
      <c r="O628" s="34">
        <v>70</v>
      </c>
      <c r="P628" s="34">
        <v>14.4</v>
      </c>
      <c r="Q628" s="51">
        <v>43472</v>
      </c>
      <c r="R628" s="36">
        <v>0</v>
      </c>
      <c r="S628" s="103">
        <f t="shared" si="230"/>
        <v>3091.23</v>
      </c>
      <c r="T628" s="38">
        <f t="shared" si="234"/>
        <v>2862.25</v>
      </c>
      <c r="U628" s="259">
        <v>0</v>
      </c>
      <c r="V628" s="39">
        <v>0.08</v>
      </c>
      <c r="W628" s="40">
        <v>44377</v>
      </c>
      <c r="X628" s="41">
        <f t="shared" si="231"/>
        <v>29</v>
      </c>
      <c r="Y628" s="42">
        <f t="shared" si="232"/>
        <v>2.4166666666666665</v>
      </c>
    </row>
    <row r="629" spans="1:25" x14ac:dyDescent="0.2">
      <c r="A629" s="52"/>
      <c r="B629" s="43" t="s">
        <v>598</v>
      </c>
      <c r="C629" s="105" t="s">
        <v>158</v>
      </c>
      <c r="D629" s="45" t="s">
        <v>30</v>
      </c>
      <c r="E629" s="46">
        <v>43414</v>
      </c>
      <c r="F629" s="47">
        <v>2063.7051480000005</v>
      </c>
      <c r="G629" s="47">
        <v>0</v>
      </c>
      <c r="H629" s="47"/>
      <c r="I629" s="47">
        <f t="shared" si="228"/>
        <v>20637.051480000006</v>
      </c>
      <c r="J629" s="47">
        <f t="shared" si="229"/>
        <v>4245.3363044571443</v>
      </c>
      <c r="K629" s="49">
        <v>0</v>
      </c>
      <c r="L629" s="50"/>
      <c r="M629" s="460">
        <v>1910.8381000000002</v>
      </c>
      <c r="N629" s="87">
        <f t="shared" si="233"/>
        <v>2063.7051480000005</v>
      </c>
      <c r="O629" s="34">
        <v>70</v>
      </c>
      <c r="P629" s="34">
        <v>14.4</v>
      </c>
      <c r="Q629" s="51">
        <v>43414</v>
      </c>
      <c r="R629" s="36">
        <v>0</v>
      </c>
      <c r="S629" s="103">
        <f t="shared" si="230"/>
        <v>2063.7051480000005</v>
      </c>
      <c r="T629" s="38">
        <f t="shared" si="234"/>
        <v>1910.8381000000004</v>
      </c>
      <c r="U629" s="259">
        <v>0</v>
      </c>
      <c r="V629" s="39">
        <v>0.08</v>
      </c>
      <c r="W629" s="40">
        <v>44377</v>
      </c>
      <c r="X629" s="41">
        <f t="shared" si="231"/>
        <v>31</v>
      </c>
      <c r="Y629" s="42">
        <f t="shared" si="232"/>
        <v>2.5833333333333335</v>
      </c>
    </row>
    <row r="630" spans="1:25" x14ac:dyDescent="0.2">
      <c r="A630" s="52"/>
      <c r="B630" s="43" t="s">
        <v>599</v>
      </c>
      <c r="C630" s="105" t="s">
        <v>581</v>
      </c>
      <c r="D630" s="45" t="s">
        <v>30</v>
      </c>
      <c r="E630" s="46">
        <v>43525</v>
      </c>
      <c r="F630" s="47">
        <v>2922.5124000000005</v>
      </c>
      <c r="G630" s="47">
        <v>0</v>
      </c>
      <c r="H630" s="47"/>
      <c r="I630" s="47">
        <f t="shared" si="228"/>
        <v>29225.124000000003</v>
      </c>
      <c r="J630" s="47">
        <f t="shared" si="229"/>
        <v>6012.0255085714298</v>
      </c>
      <c r="K630" s="49">
        <v>0</v>
      </c>
      <c r="L630" s="50"/>
      <c r="M630" s="460">
        <v>2706.03</v>
      </c>
      <c r="N630" s="87">
        <f t="shared" si="233"/>
        <v>2922.5124000000005</v>
      </c>
      <c r="O630" s="34">
        <v>70</v>
      </c>
      <c r="P630" s="34">
        <v>14.4</v>
      </c>
      <c r="Q630" s="51">
        <v>43525</v>
      </c>
      <c r="R630" s="36">
        <v>0</v>
      </c>
      <c r="S630" s="103">
        <f t="shared" si="230"/>
        <v>2922.5124000000005</v>
      </c>
      <c r="T630" s="38">
        <f t="shared" si="234"/>
        <v>2706.03</v>
      </c>
      <c r="U630" s="259">
        <v>0</v>
      </c>
      <c r="V630" s="39">
        <v>0.08</v>
      </c>
      <c r="W630" s="40">
        <v>44377</v>
      </c>
      <c r="X630" s="41">
        <f t="shared" si="231"/>
        <v>27</v>
      </c>
      <c r="Y630" s="42">
        <f t="shared" si="232"/>
        <v>2.25</v>
      </c>
    </row>
    <row r="631" spans="1:25" x14ac:dyDescent="0.2">
      <c r="A631" s="52"/>
      <c r="B631" s="43" t="s">
        <v>600</v>
      </c>
      <c r="C631" s="105" t="s">
        <v>158</v>
      </c>
      <c r="D631" s="45" t="s">
        <v>30</v>
      </c>
      <c r="E631" s="46">
        <v>42086</v>
      </c>
      <c r="F631" s="47">
        <v>2592.9237240000002</v>
      </c>
      <c r="G631" s="47">
        <v>0</v>
      </c>
      <c r="H631" s="47"/>
      <c r="I631" s="47">
        <f t="shared" si="228"/>
        <v>25929.237240000002</v>
      </c>
      <c r="J631" s="47">
        <f t="shared" si="229"/>
        <v>7112.0193572571434</v>
      </c>
      <c r="K631" s="49">
        <f>F631/7*12+R631+R631</f>
        <v>5115.3320982857149</v>
      </c>
      <c r="L631" s="50"/>
      <c r="M631" s="460">
        <v>2400.8553000000002</v>
      </c>
      <c r="N631" s="87">
        <f t="shared" si="233"/>
        <v>2592.9237240000002</v>
      </c>
      <c r="O631" s="34">
        <v>70</v>
      </c>
      <c r="P631" s="34">
        <v>19.2</v>
      </c>
      <c r="Q631" s="51">
        <v>42086</v>
      </c>
      <c r="R631" s="36">
        <v>335.16</v>
      </c>
      <c r="S631" s="103">
        <f t="shared" si="230"/>
        <v>2592.9237240000002</v>
      </c>
      <c r="T631" s="38">
        <f t="shared" si="234"/>
        <v>2400.8553000000002</v>
      </c>
      <c r="U631" s="259">
        <v>0</v>
      </c>
      <c r="V631" s="39">
        <v>0.08</v>
      </c>
      <c r="W631" s="40">
        <v>44377</v>
      </c>
      <c r="X631" s="41">
        <f t="shared" si="231"/>
        <v>75</v>
      </c>
      <c r="Y631" s="42">
        <f t="shared" si="232"/>
        <v>6.25</v>
      </c>
    </row>
    <row r="632" spans="1:25" x14ac:dyDescent="0.2">
      <c r="A632" s="52"/>
      <c r="B632" s="43" t="s">
        <v>601</v>
      </c>
      <c r="C632" s="105" t="s">
        <v>584</v>
      </c>
      <c r="D632" s="45" t="s">
        <v>30</v>
      </c>
      <c r="E632" s="46">
        <v>43808</v>
      </c>
      <c r="F632" s="47">
        <v>2542.3200000000002</v>
      </c>
      <c r="G632" s="47">
        <v>0</v>
      </c>
      <c r="H632" s="47"/>
      <c r="I632" s="47">
        <f t="shared" si="228"/>
        <v>25423.200000000001</v>
      </c>
      <c r="J632" s="47">
        <f t="shared" si="229"/>
        <v>5229.9154285714285</v>
      </c>
      <c r="K632" s="49">
        <v>0</v>
      </c>
      <c r="L632" s="50"/>
      <c r="M632" s="460">
        <v>2354</v>
      </c>
      <c r="N632" s="87">
        <f t="shared" si="233"/>
        <v>2542.3200000000002</v>
      </c>
      <c r="O632" s="34">
        <v>70</v>
      </c>
      <c r="P632" s="34">
        <v>14.4</v>
      </c>
      <c r="Q632" s="51">
        <v>43808</v>
      </c>
      <c r="R632" s="36">
        <v>0</v>
      </c>
      <c r="S632" s="103">
        <f t="shared" si="230"/>
        <v>2542.3200000000002</v>
      </c>
      <c r="T632" s="38">
        <f t="shared" si="234"/>
        <v>2354</v>
      </c>
      <c r="U632" s="259">
        <v>0</v>
      </c>
      <c r="V632" s="39">
        <v>0.08</v>
      </c>
      <c r="W632" s="40">
        <v>44377</v>
      </c>
      <c r="X632" s="41">
        <f t="shared" si="231"/>
        <v>18</v>
      </c>
      <c r="Y632" s="42">
        <f t="shared" si="232"/>
        <v>1.5</v>
      </c>
    </row>
    <row r="633" spans="1:25" x14ac:dyDescent="0.2">
      <c r="A633" s="52"/>
      <c r="B633" s="43" t="s">
        <v>602</v>
      </c>
      <c r="C633" s="105" t="s">
        <v>581</v>
      </c>
      <c r="D633" s="45" t="s">
        <v>30</v>
      </c>
      <c r="E633" s="46">
        <v>42086</v>
      </c>
      <c r="F633" s="47">
        <v>2922.5124000000005</v>
      </c>
      <c r="G633" s="47">
        <v>0</v>
      </c>
      <c r="H633" s="47"/>
      <c r="I633" s="47">
        <f t="shared" si="228"/>
        <v>29225.124000000003</v>
      </c>
      <c r="J633" s="47">
        <f t="shared" si="229"/>
        <v>8016.0340114285718</v>
      </c>
      <c r="K633" s="49">
        <f>F633/7*12+R633+R633</f>
        <v>5680.341257142858</v>
      </c>
      <c r="L633" s="50"/>
      <c r="M633" s="460">
        <v>2706.03</v>
      </c>
      <c r="N633" s="87">
        <f t="shared" si="233"/>
        <v>2922.5124000000005</v>
      </c>
      <c r="O633" s="34">
        <v>70</v>
      </c>
      <c r="P633" s="34">
        <v>19.2</v>
      </c>
      <c r="Q633" s="51">
        <v>42086</v>
      </c>
      <c r="R633" s="36">
        <v>335.16</v>
      </c>
      <c r="S633" s="103">
        <f t="shared" si="230"/>
        <v>2922.5124000000005</v>
      </c>
      <c r="T633" s="38">
        <f t="shared" si="234"/>
        <v>2706.03</v>
      </c>
      <c r="U633" s="259">
        <v>0</v>
      </c>
      <c r="V633" s="39">
        <v>0.08</v>
      </c>
      <c r="W633" s="40">
        <v>44377</v>
      </c>
      <c r="X633" s="41">
        <f t="shared" si="231"/>
        <v>75</v>
      </c>
      <c r="Y633" s="42">
        <f t="shared" si="232"/>
        <v>6.25</v>
      </c>
    </row>
    <row r="634" spans="1:25" x14ac:dyDescent="0.2">
      <c r="A634" s="52"/>
      <c r="B634" s="43" t="s">
        <v>603</v>
      </c>
      <c r="C634" s="105" t="s">
        <v>604</v>
      </c>
      <c r="D634" s="45" t="s">
        <v>30</v>
      </c>
      <c r="E634" s="46">
        <v>42238</v>
      </c>
      <c r="F634" s="47">
        <v>2349.3348000000005</v>
      </c>
      <c r="G634" s="47">
        <v>0</v>
      </c>
      <c r="H634" s="47">
        <v>128</v>
      </c>
      <c r="I634" s="47">
        <f t="shared" si="228"/>
        <v>23493.348000000005</v>
      </c>
      <c r="J634" s="47">
        <f t="shared" si="229"/>
        <v>6443.8897371428584</v>
      </c>
      <c r="K634" s="49">
        <f>F634/7*12+R634+R634</f>
        <v>4697.751085714287</v>
      </c>
      <c r="L634" s="50"/>
      <c r="M634" s="460">
        <v>2175.3100000000004</v>
      </c>
      <c r="N634" s="87">
        <f t="shared" si="233"/>
        <v>2349.3348000000005</v>
      </c>
      <c r="O634" s="34">
        <v>70</v>
      </c>
      <c r="P634" s="34">
        <v>19.2</v>
      </c>
      <c r="Q634" s="51">
        <v>42238</v>
      </c>
      <c r="R634" s="36">
        <v>335.16</v>
      </c>
      <c r="S634" s="103">
        <f t="shared" si="230"/>
        <v>2349.3348000000005</v>
      </c>
      <c r="T634" s="38">
        <f t="shared" si="234"/>
        <v>2175.3100000000004</v>
      </c>
      <c r="U634" s="259">
        <v>0</v>
      </c>
      <c r="V634" s="39">
        <v>0.08</v>
      </c>
      <c r="W634" s="40">
        <v>44377</v>
      </c>
      <c r="X634" s="41">
        <f t="shared" si="231"/>
        <v>70</v>
      </c>
      <c r="Y634" s="42">
        <f t="shared" si="232"/>
        <v>5.833333333333333</v>
      </c>
    </row>
    <row r="635" spans="1:25" ht="12.75" customHeight="1" thickBot="1" x14ac:dyDescent="0.25">
      <c r="A635" s="52"/>
      <c r="B635" s="53" t="s">
        <v>605</v>
      </c>
      <c r="C635" s="109" t="s">
        <v>140</v>
      </c>
      <c r="D635" s="55" t="s">
        <v>30</v>
      </c>
      <c r="E635" s="184">
        <v>43631</v>
      </c>
      <c r="F635" s="57">
        <v>3091.23</v>
      </c>
      <c r="G635" s="57">
        <v>0</v>
      </c>
      <c r="H635" s="57"/>
      <c r="I635" s="57">
        <f t="shared" si="228"/>
        <v>30912.3</v>
      </c>
      <c r="J635" s="57">
        <f t="shared" si="229"/>
        <v>6359.1017142857145</v>
      </c>
      <c r="K635" s="58"/>
      <c r="L635" s="50"/>
      <c r="M635" s="460">
        <v>2862.25</v>
      </c>
      <c r="N635" s="87">
        <f t="shared" si="233"/>
        <v>3091.23</v>
      </c>
      <c r="O635" s="34">
        <v>70</v>
      </c>
      <c r="P635" s="34">
        <v>14.4</v>
      </c>
      <c r="Q635" s="51">
        <v>43631</v>
      </c>
      <c r="R635" s="36">
        <v>0</v>
      </c>
      <c r="S635" s="103">
        <f t="shared" si="230"/>
        <v>3091.23</v>
      </c>
      <c r="T635" s="38">
        <f t="shared" si="234"/>
        <v>2862.25</v>
      </c>
      <c r="U635" s="259">
        <v>0</v>
      </c>
      <c r="V635" s="39">
        <v>0.08</v>
      </c>
      <c r="W635" s="40">
        <v>44377</v>
      </c>
      <c r="X635" s="41">
        <f t="shared" si="231"/>
        <v>24</v>
      </c>
      <c r="Y635" s="42">
        <f t="shared" si="232"/>
        <v>2</v>
      </c>
    </row>
    <row r="636" spans="1:25" ht="12.75" customHeight="1" thickBot="1" x14ac:dyDescent="0.25">
      <c r="A636" s="52"/>
      <c r="B636" s="227"/>
      <c r="C636" s="110"/>
      <c r="D636" s="111"/>
      <c r="E636" s="206"/>
      <c r="F636" s="113"/>
      <c r="G636" s="113"/>
      <c r="H636" s="113"/>
      <c r="I636" s="113"/>
      <c r="J636" s="113"/>
      <c r="K636" s="114"/>
      <c r="L636" s="50"/>
      <c r="O636" s="395"/>
      <c r="P636" s="395"/>
      <c r="Q636" s="395"/>
      <c r="U636" s="395"/>
      <c r="V636" s="230"/>
      <c r="W636" s="230"/>
      <c r="X636" s="395"/>
      <c r="Y636" s="395"/>
    </row>
    <row r="637" spans="1:25" ht="13.5" thickBot="1" x14ac:dyDescent="0.25">
      <c r="B637" s="69" t="s">
        <v>39</v>
      </c>
      <c r="C637" s="69" t="s">
        <v>40</v>
      </c>
      <c r="D637" s="70"/>
      <c r="E637" s="362" t="s">
        <v>370</v>
      </c>
      <c r="F637" s="200">
        <f t="shared" ref="F637:K637" si="236">SUM(F614:F635)</f>
        <v>56538.099792000015</v>
      </c>
      <c r="G637" s="200">
        <f t="shared" si="236"/>
        <v>0</v>
      </c>
      <c r="H637" s="200">
        <f t="shared" si="236"/>
        <v>1628</v>
      </c>
      <c r="I637" s="200">
        <f t="shared" si="236"/>
        <v>565380.99792000023</v>
      </c>
      <c r="J637" s="200">
        <f t="shared" si="236"/>
        <v>141302.07692434289</v>
      </c>
      <c r="K637" s="396">
        <f t="shared" si="236"/>
        <v>75097.918457142892</v>
      </c>
      <c r="L637" s="73"/>
      <c r="M637" s="5" t="s">
        <v>42</v>
      </c>
      <c r="N637" s="64"/>
      <c r="Q637" s="111"/>
      <c r="S637" s="84"/>
      <c r="V637" s="66"/>
      <c r="W637" s="67"/>
      <c r="X637" s="68"/>
    </row>
    <row r="638" spans="1:25" ht="19.5" customHeight="1" thickBot="1" x14ac:dyDescent="0.25">
      <c r="B638" s="69" t="s">
        <v>43</v>
      </c>
      <c r="C638" s="69" t="s">
        <v>44</v>
      </c>
      <c r="E638" s="232" t="s">
        <v>46</v>
      </c>
      <c r="F638" s="201">
        <f>F637/7*365</f>
        <v>2948058.060582858</v>
      </c>
      <c r="G638" s="201">
        <f>+G637*6</f>
        <v>0</v>
      </c>
      <c r="H638" s="201">
        <f>H637/7*52</f>
        <v>12093.714285714286</v>
      </c>
      <c r="I638" s="201">
        <f>I637</f>
        <v>565380.99792000023</v>
      </c>
      <c r="J638" s="201">
        <f>J637</f>
        <v>141302.07692434289</v>
      </c>
      <c r="K638" s="397">
        <f>K637</f>
        <v>75097.918457142892</v>
      </c>
      <c r="L638" s="73"/>
      <c r="M638" s="77">
        <f>SUM(F638:K638)</f>
        <v>3741932.7681700578</v>
      </c>
      <c r="N638" s="78"/>
      <c r="O638" s="80"/>
      <c r="P638" s="80"/>
      <c r="Q638" s="126"/>
      <c r="R638" s="81">
        <f>SUM(R614:R637)</f>
        <v>7779.3</v>
      </c>
      <c r="S638" s="103">
        <f>M638*(1+V638)</f>
        <v>4041287.3896236625</v>
      </c>
      <c r="T638" s="77"/>
      <c r="U638" s="177">
        <f>SUM(U614:U637)</f>
        <v>0</v>
      </c>
      <c r="V638" s="82">
        <v>0.08</v>
      </c>
      <c r="W638" s="83"/>
      <c r="X638" s="178"/>
      <c r="Y638" s="179"/>
    </row>
    <row r="639" spans="1:25" ht="13.5" customHeight="1" x14ac:dyDescent="0.2">
      <c r="B639" s="69"/>
      <c r="E639" s="243"/>
      <c r="F639" s="73"/>
      <c r="G639" s="73"/>
      <c r="H639" s="73"/>
      <c r="I639" s="73"/>
      <c r="J639" s="73"/>
      <c r="K639" s="244"/>
      <c r="L639" s="73"/>
      <c r="N639" s="64"/>
      <c r="Q639" s="111"/>
      <c r="S639" s="84"/>
      <c r="V639" s="66"/>
      <c r="W639" s="67"/>
      <c r="X639" s="68"/>
    </row>
    <row r="640" spans="1:25" ht="15" x14ac:dyDescent="0.25">
      <c r="B640" s="13"/>
      <c r="C640" s="13"/>
      <c r="D640" s="13" t="s">
        <v>639</v>
      </c>
      <c r="E640" s="13"/>
      <c r="F640" s="13"/>
      <c r="G640" s="13"/>
      <c r="H640" s="13"/>
      <c r="I640" s="14"/>
      <c r="J640" s="13"/>
      <c r="K640" s="13"/>
      <c r="L640" s="15"/>
      <c r="N640" s="64"/>
      <c r="Q640" s="206"/>
      <c r="S640" s="84"/>
      <c r="V640" s="66"/>
      <c r="W640" s="67"/>
      <c r="X640" s="68"/>
    </row>
    <row r="641" spans="1:25" ht="15" x14ac:dyDescent="0.25">
      <c r="B641" s="16" t="s">
        <v>4</v>
      </c>
      <c r="C641" s="16"/>
      <c r="D641" s="13" t="s">
        <v>606</v>
      </c>
      <c r="E641" s="13"/>
      <c r="F641" s="14"/>
      <c r="G641" s="14"/>
      <c r="H641" s="476"/>
      <c r="I641" s="476"/>
      <c r="J641" s="14"/>
      <c r="K641" s="17"/>
      <c r="L641" s="18"/>
      <c r="N641" s="64"/>
      <c r="Q641" s="206"/>
      <c r="S641" s="84"/>
      <c r="V641" s="66"/>
      <c r="W641" s="67"/>
      <c r="X641" s="68"/>
    </row>
    <row r="642" spans="1:25" ht="15.75" thickBot="1" x14ac:dyDescent="0.3">
      <c r="B642" s="18"/>
      <c r="C642" s="18"/>
      <c r="D642" s="245"/>
      <c r="E642" s="245"/>
      <c r="F642" s="15"/>
      <c r="G642" s="15"/>
      <c r="H642" s="15"/>
      <c r="I642" s="15"/>
      <c r="J642" s="15"/>
      <c r="K642" s="116"/>
      <c r="L642" s="18"/>
      <c r="N642" s="64"/>
      <c r="Q642" s="206"/>
      <c r="S642" s="84"/>
      <c r="V642" s="66"/>
      <c r="W642" s="67"/>
      <c r="X642" s="68"/>
    </row>
    <row r="643" spans="1:25" ht="12.75" customHeight="1" x14ac:dyDescent="0.2">
      <c r="B643" s="503" t="s">
        <v>6</v>
      </c>
      <c r="C643" s="499" t="s">
        <v>7</v>
      </c>
      <c r="D643" s="499" t="s">
        <v>8</v>
      </c>
      <c r="E643" s="499" t="s">
        <v>9</v>
      </c>
      <c r="F643" s="507" t="s">
        <v>340</v>
      </c>
      <c r="G643" s="483" t="s">
        <v>11</v>
      </c>
      <c r="H643" s="483" t="s">
        <v>12</v>
      </c>
      <c r="I643" s="499" t="s">
        <v>13</v>
      </c>
      <c r="J643" s="511" t="s">
        <v>14</v>
      </c>
      <c r="K643" s="513" t="s">
        <v>15</v>
      </c>
      <c r="L643" s="23"/>
      <c r="M643" s="495" t="s">
        <v>16</v>
      </c>
      <c r="N643" s="495" t="s">
        <v>17</v>
      </c>
      <c r="O643" s="489" t="s">
        <v>18</v>
      </c>
      <c r="P643" s="489" t="s">
        <v>19</v>
      </c>
      <c r="Q643" s="489" t="s">
        <v>20</v>
      </c>
      <c r="R643" s="490" t="s">
        <v>21</v>
      </c>
      <c r="S643" s="495" t="s">
        <v>22</v>
      </c>
      <c r="T643" s="495" t="s">
        <v>16</v>
      </c>
      <c r="U643" s="498" t="s">
        <v>23</v>
      </c>
      <c r="V643" s="498" t="s">
        <v>24</v>
      </c>
      <c r="W643" s="489" t="s">
        <v>25</v>
      </c>
      <c r="X643" s="489" t="s">
        <v>26</v>
      </c>
      <c r="Y643" s="497" t="s">
        <v>27</v>
      </c>
    </row>
    <row r="644" spans="1:25" ht="13.5" customHeight="1" thickBot="1" x14ac:dyDescent="0.25">
      <c r="B644" s="504"/>
      <c r="C644" s="500"/>
      <c r="D644" s="500"/>
      <c r="E644" s="500"/>
      <c r="F644" s="508"/>
      <c r="G644" s="484"/>
      <c r="H644" s="484"/>
      <c r="I644" s="500"/>
      <c r="J644" s="512"/>
      <c r="K644" s="514"/>
      <c r="L644" s="23"/>
      <c r="M644" s="495"/>
      <c r="N644" s="495"/>
      <c r="O644" s="489"/>
      <c r="P644" s="489"/>
      <c r="Q644" s="489"/>
      <c r="R644" s="490"/>
      <c r="S644" s="495"/>
      <c r="T644" s="495"/>
      <c r="U644" s="498"/>
      <c r="V644" s="498"/>
      <c r="W644" s="489"/>
      <c r="X644" s="489"/>
      <c r="Y644" s="497"/>
    </row>
    <row r="645" spans="1:25" ht="13.5" thickBot="1" x14ac:dyDescent="0.25">
      <c r="D645" s="6"/>
      <c r="I645" s="98"/>
      <c r="J645" s="98"/>
      <c r="K645" s="180"/>
      <c r="N645" s="64"/>
      <c r="S645" s="84"/>
      <c r="V645" s="66"/>
      <c r="W645" s="67"/>
      <c r="X645" s="68"/>
    </row>
    <row r="646" spans="1:25" s="130" customFormat="1" ht="12.75" customHeight="1" x14ac:dyDescent="0.2">
      <c r="A646" s="130" t="s">
        <v>90</v>
      </c>
      <c r="B646" s="398" t="s">
        <v>607</v>
      </c>
      <c r="C646" s="399" t="s">
        <v>86</v>
      </c>
      <c r="D646" s="400" t="s">
        <v>30</v>
      </c>
      <c r="E646" s="401">
        <v>43640</v>
      </c>
      <c r="F646" s="402">
        <v>1733.4</v>
      </c>
      <c r="G646" s="402">
        <v>0</v>
      </c>
      <c r="H646" s="402"/>
      <c r="I646" s="402">
        <f t="shared" ref="I646:I655" si="237">F646/7*O646</f>
        <v>17334</v>
      </c>
      <c r="J646" s="402">
        <f t="shared" ref="J646:J655" si="238">F646/7*P646</f>
        <v>3565.8514285714286</v>
      </c>
      <c r="K646" s="403"/>
      <c r="L646" s="1"/>
      <c r="M646" s="460">
        <v>1605</v>
      </c>
      <c r="N646" s="447">
        <f>M646*(1+8%)</f>
        <v>1733.4</v>
      </c>
      <c r="O646" s="34">
        <v>70</v>
      </c>
      <c r="P646" s="34">
        <v>14.4</v>
      </c>
      <c r="Q646" s="35">
        <v>43640</v>
      </c>
      <c r="R646" s="36">
        <v>0</v>
      </c>
      <c r="S646" s="181">
        <f t="shared" ref="S646:S648" si="239">M646*(1+V646)</f>
        <v>1733.4</v>
      </c>
      <c r="T646" s="142">
        <f t="shared" ref="T646:T648" si="240">S646/1.07</f>
        <v>1620</v>
      </c>
      <c r="U646" s="307">
        <v>0</v>
      </c>
      <c r="V646" s="448">
        <v>0.08</v>
      </c>
      <c r="W646" s="144">
        <v>44377</v>
      </c>
      <c r="X646" s="145">
        <f>(YEAR(W646)-YEAR(E646))*12+MONTH(W646)-MONTH(E646)</f>
        <v>24</v>
      </c>
      <c r="Y646" s="146">
        <f t="shared" ref="Y646:Y648" si="241">X646/12</f>
        <v>2</v>
      </c>
    </row>
    <row r="647" spans="1:25" s="130" customFormat="1" ht="12.75" customHeight="1" x14ac:dyDescent="0.2">
      <c r="B647" s="332" t="s">
        <v>608</v>
      </c>
      <c r="C647" s="404" t="s">
        <v>86</v>
      </c>
      <c r="D647" s="405" t="s">
        <v>30</v>
      </c>
      <c r="E647" s="406">
        <v>44156</v>
      </c>
      <c r="F647" s="407">
        <v>1427.76</v>
      </c>
      <c r="G647" s="407"/>
      <c r="H647" s="407"/>
      <c r="I647" s="407">
        <f t="shared" si="237"/>
        <v>14277.6</v>
      </c>
      <c r="J647" s="407">
        <f t="shared" si="238"/>
        <v>2937.1062857142856</v>
      </c>
      <c r="K647" s="408">
        <f>F647/7*12+R647+R647</f>
        <v>2447.5885714285714</v>
      </c>
      <c r="L647" s="1"/>
      <c r="M647" s="460">
        <v>1322</v>
      </c>
      <c r="N647" s="447">
        <f t="shared" ref="N647:N655" si="242">M647*(1+8%)</f>
        <v>1427.76</v>
      </c>
      <c r="O647" s="34">
        <v>70</v>
      </c>
      <c r="P647" s="34">
        <v>14.4</v>
      </c>
      <c r="Q647" s="35">
        <v>44156</v>
      </c>
      <c r="R647" s="36">
        <v>0</v>
      </c>
      <c r="S647" s="181">
        <f t="shared" ref="S647" si="243">M647*(1+V647)</f>
        <v>1427.76</v>
      </c>
      <c r="T647" s="142">
        <f t="shared" ref="T647" si="244">S647/1.07</f>
        <v>1334.3551401869158</v>
      </c>
      <c r="U647" s="307"/>
      <c r="V647" s="448">
        <v>0.08</v>
      </c>
      <c r="W647" s="40">
        <v>44377</v>
      </c>
      <c r="X647" s="145">
        <f t="shared" ref="X647" si="245">(YEAR(W647)-YEAR(E647))*12+MONTH(W647)-MONTH(E647)</f>
        <v>7</v>
      </c>
      <c r="Y647" s="146">
        <f t="shared" ref="Y647" si="246">X647/12</f>
        <v>0.58333333333333337</v>
      </c>
    </row>
    <row r="648" spans="1:25" x14ac:dyDescent="0.2">
      <c r="A648" s="52"/>
      <c r="B648" s="409" t="s">
        <v>609</v>
      </c>
      <c r="C648" s="105" t="s">
        <v>551</v>
      </c>
      <c r="D648" s="45" t="s">
        <v>51</v>
      </c>
      <c r="E648" s="106">
        <v>41965</v>
      </c>
      <c r="F648" s="47">
        <v>3709.4760000000006</v>
      </c>
      <c r="G648" s="47">
        <v>0</v>
      </c>
      <c r="H648" s="47"/>
      <c r="I648" s="47">
        <f t="shared" si="237"/>
        <v>37094.760000000009</v>
      </c>
      <c r="J648" s="47">
        <f t="shared" si="238"/>
        <v>10174.562742857144</v>
      </c>
      <c r="K648" s="49">
        <f>F648/7*12+R648+R648</f>
        <v>7029.421714285716</v>
      </c>
      <c r="L648" s="228"/>
      <c r="M648" s="460">
        <v>3434.7000000000003</v>
      </c>
      <c r="N648" s="447">
        <f t="shared" si="242"/>
        <v>3709.4760000000006</v>
      </c>
      <c r="O648" s="34">
        <v>70</v>
      </c>
      <c r="P648" s="34">
        <v>19.2</v>
      </c>
      <c r="Q648" s="35">
        <v>41965</v>
      </c>
      <c r="R648" s="36">
        <v>335.16</v>
      </c>
      <c r="S648" s="103">
        <f t="shared" si="239"/>
        <v>3709.4760000000006</v>
      </c>
      <c r="T648" s="38">
        <f t="shared" si="240"/>
        <v>3466.8</v>
      </c>
      <c r="U648" s="259">
        <v>0</v>
      </c>
      <c r="V648" s="448">
        <v>0.08</v>
      </c>
      <c r="W648" s="40">
        <v>44377</v>
      </c>
      <c r="X648" s="41">
        <f t="shared" ref="X648" si="247">(YEAR(W648)-YEAR(E648))*12+MONTH(W648)-MONTH(E648)</f>
        <v>79</v>
      </c>
      <c r="Y648" s="42">
        <f t="shared" si="241"/>
        <v>6.583333333333333</v>
      </c>
    </row>
    <row r="649" spans="1:25" x14ac:dyDescent="0.2">
      <c r="A649" s="52"/>
      <c r="B649" s="104" t="s">
        <v>610</v>
      </c>
      <c r="C649" s="105" t="s">
        <v>201</v>
      </c>
      <c r="D649" s="45" t="s">
        <v>51</v>
      </c>
      <c r="E649" s="106">
        <v>37559</v>
      </c>
      <c r="F649" s="47">
        <v>1507.2837480000003</v>
      </c>
      <c r="G649" s="47">
        <v>0</v>
      </c>
      <c r="H649" s="47"/>
      <c r="I649" s="47">
        <f t="shared" si="237"/>
        <v>15072.837480000002</v>
      </c>
      <c r="J649" s="47">
        <f t="shared" si="238"/>
        <v>4134.2639945142864</v>
      </c>
      <c r="K649" s="49">
        <f>F649/7*12+R649+R649</f>
        <v>3642.5549965714295</v>
      </c>
      <c r="L649" s="228"/>
      <c r="M649" s="460">
        <v>1395.6331000000002</v>
      </c>
      <c r="N649" s="447">
        <f t="shared" si="242"/>
        <v>1507.2837480000003</v>
      </c>
      <c r="O649" s="34">
        <v>70</v>
      </c>
      <c r="P649" s="34">
        <v>19.2</v>
      </c>
      <c r="Q649" s="35">
        <v>37559</v>
      </c>
      <c r="R649" s="36">
        <v>529.32000000000005</v>
      </c>
      <c r="S649" s="103">
        <f t="shared" ref="S649:S655" si="248">M649*(1+V649)</f>
        <v>1507.2837480000003</v>
      </c>
      <c r="T649" s="38">
        <f t="shared" ref="T649:T655" si="249">S649/1.07</f>
        <v>1408.6764000000003</v>
      </c>
      <c r="U649" s="259">
        <v>0</v>
      </c>
      <c r="V649" s="448">
        <v>0.08</v>
      </c>
      <c r="W649" s="40">
        <v>44377</v>
      </c>
      <c r="X649" s="41">
        <f t="shared" ref="X649:X655" si="250">(YEAR(W649)-YEAR(E649))*12+MONTH(W649)-MONTH(E649)</f>
        <v>224</v>
      </c>
      <c r="Y649" s="42">
        <f t="shared" ref="Y649:Y655" si="251">X649/12</f>
        <v>18.666666666666668</v>
      </c>
    </row>
    <row r="650" spans="1:25" x14ac:dyDescent="0.2">
      <c r="A650" s="52" t="s">
        <v>90</v>
      </c>
      <c r="B650" s="104" t="s">
        <v>646</v>
      </c>
      <c r="C650" s="105" t="s">
        <v>647</v>
      </c>
      <c r="D650" s="45" t="s">
        <v>30</v>
      </c>
      <c r="E650" s="106">
        <v>44075</v>
      </c>
      <c r="F650" s="47">
        <v>2862</v>
      </c>
      <c r="G650" s="47">
        <v>0</v>
      </c>
      <c r="H650" s="47"/>
      <c r="I650" s="47">
        <f t="shared" ref="I650" si="252">F650/7*O650</f>
        <v>28620</v>
      </c>
      <c r="J650" s="47">
        <f t="shared" ref="J650" si="253">F650/7*P650</f>
        <v>5887.5428571428565</v>
      </c>
      <c r="K650" s="49"/>
      <c r="L650" s="228"/>
      <c r="M650" s="460">
        <v>2862</v>
      </c>
      <c r="N650" s="447">
        <f>M650*(1+8%)</f>
        <v>3090.96</v>
      </c>
      <c r="O650" s="34">
        <v>70</v>
      </c>
      <c r="P650" s="34">
        <v>14.4</v>
      </c>
      <c r="Q650" s="35">
        <v>44075</v>
      </c>
      <c r="R650" s="36">
        <v>0</v>
      </c>
      <c r="S650" s="103">
        <f t="shared" si="248"/>
        <v>3090.96</v>
      </c>
      <c r="T650" s="38">
        <f t="shared" si="249"/>
        <v>2888.7476635514017</v>
      </c>
      <c r="U650" s="259">
        <v>0</v>
      </c>
      <c r="V650" s="448">
        <v>0.08</v>
      </c>
      <c r="W650" s="40">
        <v>44377</v>
      </c>
      <c r="X650" s="41">
        <f>(YEAR(W650)-YEAR(E650))*12+MONTH(W650)-MONTH(E650)</f>
        <v>9</v>
      </c>
      <c r="Y650" s="42">
        <f t="shared" si="251"/>
        <v>0.75</v>
      </c>
    </row>
    <row r="651" spans="1:25" x14ac:dyDescent="0.2">
      <c r="A651" s="52"/>
      <c r="B651" s="104" t="s">
        <v>611</v>
      </c>
      <c r="C651" s="105" t="s">
        <v>201</v>
      </c>
      <c r="D651" s="45" t="s">
        <v>51</v>
      </c>
      <c r="E651" s="106">
        <v>37503</v>
      </c>
      <c r="F651" s="47">
        <v>1507.2837480000003</v>
      </c>
      <c r="G651" s="47">
        <v>0</v>
      </c>
      <c r="H651" s="47"/>
      <c r="I651" s="47">
        <f t="shared" si="237"/>
        <v>15072.837480000002</v>
      </c>
      <c r="J651" s="47">
        <f t="shared" si="238"/>
        <v>4134.2639945142864</v>
      </c>
      <c r="K651" s="49">
        <f>F651/7*12+R651+R651</f>
        <v>3642.5549965714295</v>
      </c>
      <c r="L651" s="228"/>
      <c r="M651" s="460">
        <v>1395.6331000000002</v>
      </c>
      <c r="N651" s="447">
        <f t="shared" si="242"/>
        <v>1507.2837480000003</v>
      </c>
      <c r="O651" s="34">
        <v>70</v>
      </c>
      <c r="P651" s="34">
        <v>19.2</v>
      </c>
      <c r="Q651" s="35">
        <v>37503</v>
      </c>
      <c r="R651" s="36">
        <v>529.32000000000005</v>
      </c>
      <c r="S651" s="103">
        <f t="shared" si="248"/>
        <v>1507.2837480000003</v>
      </c>
      <c r="T651" s="38">
        <f t="shared" si="249"/>
        <v>1408.6764000000003</v>
      </c>
      <c r="U651" s="259">
        <v>0</v>
      </c>
      <c r="V651" s="448">
        <v>0.08</v>
      </c>
      <c r="W651" s="40">
        <v>44377</v>
      </c>
      <c r="X651" s="41">
        <f t="shared" si="250"/>
        <v>225</v>
      </c>
      <c r="Y651" s="42">
        <f t="shared" si="251"/>
        <v>18.75</v>
      </c>
    </row>
    <row r="652" spans="1:25" x14ac:dyDescent="0.2">
      <c r="A652" s="52"/>
      <c r="B652" s="104" t="s">
        <v>612</v>
      </c>
      <c r="C652" s="105" t="s">
        <v>201</v>
      </c>
      <c r="D652" s="45" t="s">
        <v>51</v>
      </c>
      <c r="E652" s="106">
        <v>38531</v>
      </c>
      <c r="F652" s="47">
        <v>2843.9316000000003</v>
      </c>
      <c r="G652" s="47">
        <v>0</v>
      </c>
      <c r="H652" s="47"/>
      <c r="I652" s="47">
        <f t="shared" si="237"/>
        <v>28439.316000000006</v>
      </c>
      <c r="J652" s="47">
        <f t="shared" si="238"/>
        <v>7800.4981028571437</v>
      </c>
      <c r="K652" s="49">
        <f>F652/7*12+R652+R652</f>
        <v>5933.951314285714</v>
      </c>
      <c r="L652" s="31"/>
      <c r="M652" s="460">
        <v>2633.27</v>
      </c>
      <c r="N652" s="447">
        <f t="shared" si="242"/>
        <v>2843.9316000000003</v>
      </c>
      <c r="O652" s="34">
        <v>70</v>
      </c>
      <c r="P652" s="34">
        <v>19.2</v>
      </c>
      <c r="Q652" s="35">
        <v>38531</v>
      </c>
      <c r="R652" s="36">
        <v>529.32000000000005</v>
      </c>
      <c r="S652" s="103">
        <f t="shared" si="248"/>
        <v>2843.9316000000003</v>
      </c>
      <c r="T652" s="38">
        <f t="shared" si="249"/>
        <v>2657.88</v>
      </c>
      <c r="U652" s="259">
        <v>0</v>
      </c>
      <c r="V652" s="448">
        <v>0.08</v>
      </c>
      <c r="W652" s="40">
        <v>44377</v>
      </c>
      <c r="X652" s="41">
        <f t="shared" si="250"/>
        <v>192</v>
      </c>
      <c r="Y652" s="42">
        <f t="shared" si="251"/>
        <v>16</v>
      </c>
    </row>
    <row r="653" spans="1:25" s="130" customFormat="1" x14ac:dyDescent="0.2">
      <c r="A653" s="283"/>
      <c r="B653" s="131" t="s">
        <v>613</v>
      </c>
      <c r="C653" s="132" t="s">
        <v>61</v>
      </c>
      <c r="D653" s="133" t="s">
        <v>30</v>
      </c>
      <c r="E653" s="134">
        <v>44156</v>
      </c>
      <c r="F653" s="147">
        <v>1099.44</v>
      </c>
      <c r="G653" s="147">
        <v>0</v>
      </c>
      <c r="H653" s="147"/>
      <c r="I653" s="147">
        <v>25956.518571428573</v>
      </c>
      <c r="J653" s="147">
        <v>7222.6834285714285</v>
      </c>
      <c r="K653" s="148">
        <v>5888.7771428571432</v>
      </c>
      <c r="L653" s="138"/>
      <c r="M653" s="460">
        <v>1018</v>
      </c>
      <c r="N653" s="447">
        <f t="shared" si="242"/>
        <v>1099.44</v>
      </c>
      <c r="O653" s="34">
        <v>70</v>
      </c>
      <c r="P653" s="140">
        <v>14.4</v>
      </c>
      <c r="Q653" s="134">
        <v>44156</v>
      </c>
      <c r="R653" s="141">
        <v>0</v>
      </c>
      <c r="S653" s="181">
        <f t="shared" si="248"/>
        <v>1099.44</v>
      </c>
      <c r="T653" s="142">
        <f t="shared" si="249"/>
        <v>1027.5140186915887</v>
      </c>
      <c r="U653" s="307"/>
      <c r="V653" s="448">
        <v>0.08</v>
      </c>
      <c r="W653" s="40">
        <v>44377</v>
      </c>
      <c r="X653" s="145">
        <f t="shared" si="250"/>
        <v>7</v>
      </c>
      <c r="Y653" s="146">
        <f t="shared" si="251"/>
        <v>0.58333333333333337</v>
      </c>
    </row>
    <row r="654" spans="1:25" x14ac:dyDescent="0.2">
      <c r="A654" s="52"/>
      <c r="B654" s="104" t="s">
        <v>614</v>
      </c>
      <c r="C654" s="105" t="s">
        <v>86</v>
      </c>
      <c r="D654" s="45" t="s">
        <v>30</v>
      </c>
      <c r="E654" s="106">
        <v>43252</v>
      </c>
      <c r="F654" s="47">
        <v>1524.5946360000003</v>
      </c>
      <c r="G654" s="47">
        <v>0</v>
      </c>
      <c r="H654" s="47"/>
      <c r="I654" s="47">
        <f t="shared" si="237"/>
        <v>15245.946360000002</v>
      </c>
      <c r="J654" s="47">
        <f t="shared" si="238"/>
        <v>3659.0271264000007</v>
      </c>
      <c r="K654" s="49">
        <v>0</v>
      </c>
      <c r="L654" s="31"/>
      <c r="M654" s="460">
        <v>1411.6617000000001</v>
      </c>
      <c r="N654" s="447">
        <f t="shared" si="242"/>
        <v>1524.5946360000003</v>
      </c>
      <c r="O654" s="34">
        <v>70</v>
      </c>
      <c r="P654" s="34">
        <v>16.8</v>
      </c>
      <c r="Q654" s="35">
        <v>43252</v>
      </c>
      <c r="R654" s="36">
        <v>0</v>
      </c>
      <c r="S654" s="103">
        <f t="shared" si="248"/>
        <v>1524.5946360000003</v>
      </c>
      <c r="T654" s="38">
        <f t="shared" si="249"/>
        <v>1424.8548000000001</v>
      </c>
      <c r="U654" s="259">
        <v>0</v>
      </c>
      <c r="V654" s="448">
        <v>0.08</v>
      </c>
      <c r="W654" s="40">
        <v>44377</v>
      </c>
      <c r="X654" s="41">
        <f t="shared" si="250"/>
        <v>36</v>
      </c>
      <c r="Y654" s="42">
        <f t="shared" si="251"/>
        <v>3</v>
      </c>
    </row>
    <row r="655" spans="1:25" ht="13.5" customHeight="1" thickBot="1" x14ac:dyDescent="0.25">
      <c r="A655" s="52"/>
      <c r="B655" s="53" t="s">
        <v>615</v>
      </c>
      <c r="C655" s="109" t="s">
        <v>201</v>
      </c>
      <c r="D655" s="238" t="s">
        <v>51</v>
      </c>
      <c r="E655" s="184">
        <v>35487</v>
      </c>
      <c r="F655" s="57">
        <v>1990.7521200000003</v>
      </c>
      <c r="G655" s="57">
        <v>0</v>
      </c>
      <c r="H655" s="57"/>
      <c r="I655" s="57">
        <f t="shared" si="237"/>
        <v>19907.521200000003</v>
      </c>
      <c r="J655" s="57">
        <f t="shared" si="238"/>
        <v>5460.3486720000001</v>
      </c>
      <c r="K655" s="58">
        <f>F655/7*12+R655+R655</f>
        <v>4787.3179200000004</v>
      </c>
      <c r="L655" s="129"/>
      <c r="M655" s="460">
        <v>1843.2890000000002</v>
      </c>
      <c r="N655" s="447">
        <f t="shared" si="242"/>
        <v>1990.7521200000003</v>
      </c>
      <c r="O655" s="34">
        <v>70</v>
      </c>
      <c r="P655" s="34">
        <v>19.2</v>
      </c>
      <c r="Q655" s="51">
        <v>35487</v>
      </c>
      <c r="R655" s="36">
        <v>687.3</v>
      </c>
      <c r="S655" s="103">
        <f t="shared" si="248"/>
        <v>1990.7521200000003</v>
      </c>
      <c r="T655" s="38">
        <f t="shared" si="249"/>
        <v>1860.5160000000003</v>
      </c>
      <c r="U655" s="259">
        <v>0</v>
      </c>
      <c r="V655" s="448">
        <v>0.08</v>
      </c>
      <c r="W655" s="40">
        <v>44377</v>
      </c>
      <c r="X655" s="41">
        <f t="shared" si="250"/>
        <v>292</v>
      </c>
      <c r="Y655" s="42">
        <f t="shared" si="251"/>
        <v>24.333333333333332</v>
      </c>
    </row>
    <row r="656" spans="1:25" ht="13.5" thickBot="1" x14ac:dyDescent="0.25">
      <c r="A656" s="52"/>
      <c r="B656" s="227"/>
      <c r="C656" s="110"/>
      <c r="D656" s="115"/>
      <c r="E656" s="206"/>
      <c r="F656" s="113"/>
      <c r="G656" s="113"/>
      <c r="H656" s="113"/>
      <c r="I656" s="113"/>
      <c r="J656" s="113"/>
      <c r="K656" s="114"/>
      <c r="L656" s="129"/>
      <c r="M656" s="84"/>
      <c r="N656" s="64"/>
      <c r="Q656" s="410"/>
      <c r="S656" s="84"/>
      <c r="V656" s="66"/>
      <c r="W656" s="67"/>
      <c r="X656" s="68"/>
    </row>
    <row r="657" spans="2:25" ht="13.5" thickBot="1" x14ac:dyDescent="0.25">
      <c r="B657" s="69" t="s">
        <v>39</v>
      </c>
      <c r="C657" s="69" t="s">
        <v>40</v>
      </c>
      <c r="D657" s="70"/>
      <c r="E657" s="362" t="s">
        <v>370</v>
      </c>
      <c r="F657" s="411">
        <f t="shared" ref="F657:K657" si="254">SUM(F646:F655)</f>
        <v>20205.921852000003</v>
      </c>
      <c r="G657" s="411">
        <f t="shared" si="254"/>
        <v>0</v>
      </c>
      <c r="H657" s="411">
        <f t="shared" si="254"/>
        <v>0</v>
      </c>
      <c r="I657" s="411">
        <f t="shared" si="254"/>
        <v>217021.33709142858</v>
      </c>
      <c r="J657" s="411">
        <f t="shared" si="254"/>
        <v>54976.148633142868</v>
      </c>
      <c r="K657" s="412">
        <f t="shared" si="254"/>
        <v>33372.166656000001</v>
      </c>
      <c r="L657" s="73"/>
      <c r="M657" s="5" t="s">
        <v>42</v>
      </c>
      <c r="N657" s="64"/>
      <c r="Q657" s="111"/>
      <c r="S657" s="84"/>
      <c r="V657" s="66"/>
      <c r="W657" s="67"/>
      <c r="X657" s="68"/>
    </row>
    <row r="658" spans="2:25" ht="19.5" customHeight="1" thickBot="1" x14ac:dyDescent="0.25">
      <c r="B658" s="69" t="s">
        <v>43</v>
      </c>
      <c r="C658" s="69" t="s">
        <v>44</v>
      </c>
      <c r="E658" s="232" t="s">
        <v>46</v>
      </c>
      <c r="F658" s="413">
        <f>F657/7*365</f>
        <v>1053594.4965685715</v>
      </c>
      <c r="G658" s="413">
        <f>+G657*6</f>
        <v>0</v>
      </c>
      <c r="H658" s="413">
        <f>H657/7*366</f>
        <v>0</v>
      </c>
      <c r="I658" s="413">
        <f>I657</f>
        <v>217021.33709142858</v>
      </c>
      <c r="J658" s="413">
        <f>J657</f>
        <v>54976.148633142868</v>
      </c>
      <c r="K658" s="175">
        <f>K657</f>
        <v>33372.166656000001</v>
      </c>
      <c r="L658" s="73"/>
      <c r="M658" s="77">
        <f>SUM(F658:K658)</f>
        <v>1358964.148949143</v>
      </c>
      <c r="N658" s="78">
        <f>M658*(1+7%)</f>
        <v>1454091.639375583</v>
      </c>
      <c r="O658" s="80"/>
      <c r="P658" s="80"/>
      <c r="Q658" s="126"/>
      <c r="R658" s="81">
        <f>SUM(R646:R657)</f>
        <v>2610.42</v>
      </c>
      <c r="S658" s="77">
        <f>M658*(1+V658)</f>
        <v>1467681.2808650746</v>
      </c>
      <c r="T658" s="77"/>
      <c r="U658" s="177">
        <f>SUM(U646:U657)</f>
        <v>0</v>
      </c>
      <c r="V658" s="82">
        <v>0.08</v>
      </c>
      <c r="W658" s="83"/>
      <c r="X658" s="178"/>
      <c r="Y658" s="179"/>
    </row>
    <row r="659" spans="2:25" ht="13.5" customHeight="1" x14ac:dyDescent="0.2">
      <c r="N659" s="64"/>
      <c r="Q659" s="383"/>
      <c r="S659" s="84"/>
      <c r="V659" s="66"/>
      <c r="W659" s="67"/>
      <c r="X659" s="68"/>
    </row>
    <row r="660" spans="2:25" hidden="1" x14ac:dyDescent="0.2">
      <c r="B660" s="69"/>
      <c r="F660" s="414" t="e">
        <f>SUM(#REF!+#REF!+F658+F638+F606+F561+F521+F479+F324+F296+F274+F495+F262+F249+F234+F186+F148+F112+F129+F88+F49+F35+F19+#REF!)</f>
        <v>#REF!</v>
      </c>
      <c r="G660" s="414" t="e">
        <f>SUM(#REF!+#REF!+#REF!+G658+G638+G606+G561+G521+G479+G324+G296+G274+G495+G262+G249+G234+G186+G148+G112+G129+G88+G49+G35+G19)</f>
        <v>#REF!</v>
      </c>
      <c r="H660" s="414" t="e">
        <f>SUM(#REF!+#REF!+#REF!+H658+H638+H606+H561+H521+H479+H324+H296+H274+H495+H262+H249+H234+H186+H148+H112+H129+H88+H49+H35+H19)</f>
        <v>#REF!</v>
      </c>
      <c r="I660" s="414" t="e">
        <f>SUM(#REF!+#REF!+#REF!+I658+I638+I606+I561+I521+I479+I324+I296+I274+I495+I262+I249+I234+I186+I148+I112+I129+I88+I49+I35+I19)</f>
        <v>#REF!</v>
      </c>
      <c r="J660" s="414" t="e">
        <f>SUM(#REF!+#REF!+#REF!+J658+J638+J606+J561+J521+J479+J324+J296+J274+J495+J262+J249+J234+J186+J148+J112+J129+J88+J49+J35+J19)</f>
        <v>#REF!</v>
      </c>
      <c r="K660" s="415" t="e">
        <f>SUM(#REF!+#REF!+#REF!+K658+K638+K606+K561+K521+K479+K324+K296+K274+K495+K262+K249+K234+K186+K148+K112+K129+K88+K49+K35+K19)</f>
        <v>#REF!</v>
      </c>
      <c r="L660" s="395"/>
      <c r="N660" s="64"/>
    </row>
    <row r="661" spans="2:25" hidden="1" x14ac:dyDescent="0.2">
      <c r="B661" s="69"/>
      <c r="F661" s="414" t="e">
        <f>F660-F521-F495-F479-F234-#REF!</f>
        <v>#REF!</v>
      </c>
      <c r="G661" s="414" t="e">
        <f>G660-G521-G495-G479-G234-#REF!</f>
        <v>#REF!</v>
      </c>
      <c r="H661" s="414" t="e">
        <f>H660-H521-H495-H479-H234-#REF!</f>
        <v>#REF!</v>
      </c>
      <c r="I661" s="414" t="e">
        <f>I660-I521-I495-I479-I234-#REF!</f>
        <v>#REF!</v>
      </c>
      <c r="J661" s="414" t="e">
        <f>J660-J521-J495-J479-J234-#REF!</f>
        <v>#REF!</v>
      </c>
      <c r="K661" s="415" t="e">
        <f>K660-K521-K495-K479-K234-#REF!</f>
        <v>#REF!</v>
      </c>
      <c r="L661" s="395"/>
    </row>
    <row r="662" spans="2:25" hidden="1" x14ac:dyDescent="0.2">
      <c r="F662" s="414" t="e">
        <f>F660-F661</f>
        <v>#REF!</v>
      </c>
      <c r="G662" s="414" t="e">
        <f>G660-G661</f>
        <v>#REF!</v>
      </c>
      <c r="H662" s="414" t="e">
        <f t="shared" ref="H662:K662" si="255">H660-H661</f>
        <v>#REF!</v>
      </c>
      <c r="I662" s="414" t="e">
        <f t="shared" si="255"/>
        <v>#REF!</v>
      </c>
      <c r="J662" s="414" t="e">
        <f t="shared" si="255"/>
        <v>#REF!</v>
      </c>
      <c r="K662" s="415" t="e">
        <f t="shared" si="255"/>
        <v>#REF!</v>
      </c>
      <c r="L662" s="395"/>
    </row>
    <row r="663" spans="2:25" hidden="1" x14ac:dyDescent="0.2"/>
    <row r="664" spans="2:25" hidden="1" x14ac:dyDescent="0.2"/>
    <row r="665" spans="2:25" hidden="1" x14ac:dyDescent="0.2"/>
    <row r="666" spans="2:25" hidden="1" x14ac:dyDescent="0.2"/>
    <row r="667" spans="2:25" hidden="1" x14ac:dyDescent="0.2"/>
    <row r="668" spans="2:25" hidden="1" x14ac:dyDescent="0.2"/>
    <row r="669" spans="2:25" hidden="1" x14ac:dyDescent="0.2"/>
    <row r="670" spans="2:25" hidden="1" x14ac:dyDescent="0.2"/>
    <row r="671" spans="2:25" hidden="1" x14ac:dyDescent="0.2"/>
    <row r="672" spans="2:25" hidden="1" x14ac:dyDescent="0.2"/>
    <row r="673" spans="1:179" hidden="1" x14ac:dyDescent="0.2"/>
    <row r="674" spans="1:179" hidden="1" x14ac:dyDescent="0.2"/>
    <row r="675" spans="1:179" hidden="1" x14ac:dyDescent="0.2"/>
    <row r="676" spans="1:179" hidden="1" x14ac:dyDescent="0.2"/>
    <row r="677" spans="1:179" hidden="1" x14ac:dyDescent="0.2"/>
    <row r="678" spans="1:179" hidden="1" x14ac:dyDescent="0.2"/>
    <row r="679" spans="1:179" hidden="1" x14ac:dyDescent="0.2"/>
    <row r="680" spans="1:179" hidden="1" x14ac:dyDescent="0.2"/>
    <row r="681" spans="1:179" s="24" customFormat="1" hidden="1" x14ac:dyDescent="0.2">
      <c r="A681" s="1"/>
      <c r="B681" s="1"/>
      <c r="C681" s="1"/>
      <c r="D681" s="1"/>
      <c r="E681" s="1"/>
      <c r="F681" s="6"/>
      <c r="G681" s="6"/>
      <c r="H681" s="6"/>
      <c r="I681" s="6"/>
      <c r="J681" s="6"/>
      <c r="L681" s="1"/>
      <c r="M681" s="5"/>
      <c r="N681" s="5"/>
      <c r="O681" s="6"/>
      <c r="P681" s="6"/>
      <c r="Q681" s="1"/>
      <c r="R681" s="7"/>
      <c r="S681" s="5"/>
      <c r="T681" s="5"/>
      <c r="U681" s="1"/>
      <c r="V681" s="6"/>
      <c r="W681" s="6"/>
      <c r="X681" s="6"/>
      <c r="Y681" s="8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</row>
    <row r="682" spans="1:179" s="24" customFormat="1" hidden="1" x14ac:dyDescent="0.2">
      <c r="A682" s="1"/>
      <c r="B682" s="1"/>
      <c r="C682" s="1"/>
      <c r="D682" s="1"/>
      <c r="E682" s="1"/>
      <c r="F682" s="6"/>
      <c r="G682" s="6"/>
      <c r="H682" s="6"/>
      <c r="I682" s="6"/>
      <c r="J682" s="6"/>
      <c r="L682" s="1"/>
      <c r="M682" s="5"/>
      <c r="N682" s="5"/>
      <c r="O682" s="6"/>
      <c r="P682" s="6"/>
      <c r="Q682" s="1"/>
      <c r="R682" s="7"/>
      <c r="S682" s="5"/>
      <c r="T682" s="5"/>
      <c r="U682" s="1"/>
      <c r="V682" s="6"/>
      <c r="W682" s="6"/>
      <c r="X682" s="6"/>
      <c r="Y682" s="8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</row>
    <row r="683" spans="1:179" s="24" customFormat="1" ht="13.5" hidden="1" thickBot="1" x14ac:dyDescent="0.25">
      <c r="A683" s="1"/>
      <c r="B683" s="1"/>
      <c r="C683" s="416"/>
      <c r="D683" s="417"/>
      <c r="E683" s="418" t="s">
        <v>616</v>
      </c>
      <c r="F683" s="418" t="s">
        <v>617</v>
      </c>
      <c r="G683" s="418" t="s">
        <v>13</v>
      </c>
      <c r="H683" s="418" t="s">
        <v>618</v>
      </c>
      <c r="I683" s="418" t="s">
        <v>15</v>
      </c>
      <c r="J683" s="419"/>
      <c r="L683" s="1"/>
      <c r="M683" s="5"/>
      <c r="N683" s="5"/>
      <c r="O683" s="6"/>
      <c r="P683" s="6"/>
      <c r="Q683" s="1"/>
      <c r="R683" s="7"/>
      <c r="S683" s="5"/>
      <c r="T683" s="5"/>
      <c r="U683" s="1"/>
      <c r="V683" s="6"/>
      <c r="W683" s="6"/>
      <c r="X683" s="6"/>
      <c r="Y683" s="8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</row>
    <row r="684" spans="1:179" s="24" customFormat="1" ht="14.25" hidden="1" thickTop="1" x14ac:dyDescent="0.25">
      <c r="A684" s="1"/>
      <c r="B684" s="1"/>
      <c r="C684" s="1" t="s">
        <v>619</v>
      </c>
      <c r="D684" s="1"/>
      <c r="E684" s="420">
        <f>F19+G19</f>
        <v>1589947.4214720002</v>
      </c>
      <c r="F684" s="421">
        <f>H19</f>
        <v>523200</v>
      </c>
      <c r="G684" s="421">
        <f>I19</f>
        <v>304921.42329599999</v>
      </c>
      <c r="H684" s="421">
        <f>J19</f>
        <v>62726.692792320006</v>
      </c>
      <c r="I684" s="421">
        <f>K19</f>
        <v>0</v>
      </c>
      <c r="J684" s="421"/>
      <c r="L684" s="1"/>
      <c r="M684" s="5"/>
      <c r="N684" s="5"/>
      <c r="O684" s="6"/>
      <c r="P684" s="6"/>
      <c r="Q684" s="1"/>
      <c r="R684" s="7"/>
      <c r="S684" s="5"/>
      <c r="T684" s="5"/>
      <c r="U684" s="1"/>
      <c r="V684" s="6"/>
      <c r="W684" s="6"/>
      <c r="X684" s="6"/>
      <c r="Y684" s="8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</row>
    <row r="685" spans="1:179" s="24" customFormat="1" ht="13.5" hidden="1" x14ac:dyDescent="0.25">
      <c r="A685" s="1"/>
      <c r="B685" s="1"/>
      <c r="C685" s="1" t="s">
        <v>620</v>
      </c>
      <c r="D685" s="1"/>
      <c r="E685" s="420">
        <f>F35+G35</f>
        <v>1776393.8668800006</v>
      </c>
      <c r="F685" s="421">
        <f>H35</f>
        <v>354048</v>
      </c>
      <c r="G685" s="421">
        <f>I35</f>
        <v>340678.27584000007</v>
      </c>
      <c r="H685" s="421">
        <f>J35</f>
        <v>76426.680245760028</v>
      </c>
      <c r="I685" s="421">
        <f>K35</f>
        <v>19280.250182400003</v>
      </c>
      <c r="J685" s="421"/>
      <c r="L685" s="1"/>
      <c r="M685" s="5"/>
      <c r="N685" s="5"/>
      <c r="O685" s="6"/>
      <c r="P685" s="6"/>
      <c r="Q685" s="1"/>
      <c r="R685" s="7"/>
      <c r="S685" s="5"/>
      <c r="T685" s="5"/>
      <c r="U685" s="1"/>
      <c r="V685" s="6"/>
      <c r="W685" s="6"/>
      <c r="X685" s="6"/>
      <c r="Y685" s="8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</row>
    <row r="686" spans="1:179" s="24" customFormat="1" ht="13.5" hidden="1" x14ac:dyDescent="0.25">
      <c r="A686" s="1"/>
      <c r="B686" s="1"/>
      <c r="C686" s="1" t="s">
        <v>50</v>
      </c>
      <c r="D686" s="1"/>
      <c r="E686" s="420">
        <f>F49+G49</f>
        <v>1005178.8214080002</v>
      </c>
      <c r="F686" s="421">
        <f>H49</f>
        <v>134400</v>
      </c>
      <c r="G686" s="421">
        <f>I49</f>
        <v>192774.02054400003</v>
      </c>
      <c r="H686" s="421">
        <f>J49</f>
        <v>46537.59436416001</v>
      </c>
      <c r="I686" s="421">
        <f>K49</f>
        <v>21002.981059199999</v>
      </c>
      <c r="J686" s="421"/>
      <c r="L686" s="1"/>
      <c r="M686" s="5"/>
      <c r="N686" s="5"/>
      <c r="O686" s="6"/>
      <c r="P686" s="6"/>
      <c r="Q686" s="1"/>
      <c r="R686" s="7"/>
      <c r="S686" s="5"/>
      <c r="T686" s="5"/>
      <c r="U686" s="1"/>
      <c r="V686" s="6"/>
      <c r="W686" s="6"/>
      <c r="X686" s="6"/>
      <c r="Y686" s="8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</row>
    <row r="687" spans="1:179" s="24" customFormat="1" ht="13.5" hidden="1" x14ac:dyDescent="0.25">
      <c r="A687" s="1"/>
      <c r="B687" s="1"/>
      <c r="C687" s="1" t="s">
        <v>621</v>
      </c>
      <c r="D687" s="1"/>
      <c r="E687" s="420">
        <f>F88+G88+F658</f>
        <v>5225710.9464070247</v>
      </c>
      <c r="F687" s="421">
        <f>H88</f>
        <v>216000</v>
      </c>
      <c r="G687" s="421">
        <f>I88+I658</f>
        <v>996274.16442924214</v>
      </c>
      <c r="H687" s="421">
        <f>J88+J658</f>
        <v>228228.92904740214</v>
      </c>
      <c r="I687" s="421">
        <f>K88+K658</f>
        <v>74505.716089344001</v>
      </c>
      <c r="J687" s="421"/>
      <c r="L687" s="1"/>
      <c r="M687" s="5"/>
      <c r="N687" s="5"/>
      <c r="O687" s="6"/>
      <c r="P687" s="6"/>
      <c r="Q687" s="1"/>
      <c r="R687" s="7"/>
      <c r="S687" s="5"/>
      <c r="T687" s="5"/>
      <c r="U687" s="1"/>
      <c r="V687" s="6"/>
      <c r="W687" s="6"/>
      <c r="X687" s="6"/>
      <c r="Y687" s="8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</row>
    <row r="688" spans="1:179" s="24" customFormat="1" ht="13.5" hidden="1" x14ac:dyDescent="0.25">
      <c r="A688" s="1"/>
      <c r="B688" s="1"/>
      <c r="C688" s="1" t="s">
        <v>622</v>
      </c>
      <c r="D688" s="1"/>
      <c r="E688" s="420">
        <f>F112+G112</f>
        <v>3193825.4898840003</v>
      </c>
      <c r="F688" s="421">
        <f>H112</f>
        <v>233784</v>
      </c>
      <c r="G688" s="421">
        <f>I112</f>
        <v>612514.47751200013</v>
      </c>
      <c r="H688" s="421">
        <f>J112</f>
        <v>146862.06004224002</v>
      </c>
      <c r="I688" s="421">
        <f>K112</f>
        <v>63432.864528000013</v>
      </c>
      <c r="J688" s="421"/>
      <c r="L688" s="1"/>
      <c r="M688" s="5"/>
      <c r="N688" s="5"/>
      <c r="O688" s="6"/>
      <c r="P688" s="6"/>
      <c r="Q688" s="1"/>
      <c r="R688" s="7"/>
      <c r="S688" s="5"/>
      <c r="T688" s="5"/>
      <c r="U688" s="1"/>
      <c r="V688" s="6"/>
      <c r="W688" s="6"/>
      <c r="X688" s="6"/>
      <c r="Y688" s="8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</row>
    <row r="689" spans="1:179" s="24" customFormat="1" ht="13.5" hidden="1" x14ac:dyDescent="0.25">
      <c r="A689" s="1"/>
      <c r="B689" s="1"/>
      <c r="C689" s="1" t="s">
        <v>623</v>
      </c>
      <c r="D689" s="1"/>
      <c r="E689" s="420">
        <f>F129+G129</f>
        <v>980802.60242400016</v>
      </c>
      <c r="F689" s="421">
        <f>H129</f>
        <v>0</v>
      </c>
      <c r="G689" s="421">
        <f>I129</f>
        <v>188099.12923200004</v>
      </c>
      <c r="H689" s="421">
        <f>J129</f>
        <v>44544.269122560007</v>
      </c>
      <c r="I689" s="421">
        <f>K129</f>
        <v>7921.929772800001</v>
      </c>
      <c r="J689" s="421"/>
      <c r="L689" s="1"/>
      <c r="M689" s="5"/>
      <c r="N689" s="5"/>
      <c r="O689" s="6"/>
      <c r="P689" s="6"/>
      <c r="Q689" s="1"/>
      <c r="R689" s="7"/>
      <c r="S689" s="5"/>
      <c r="T689" s="5"/>
      <c r="U689" s="1"/>
      <c r="V689" s="6"/>
      <c r="W689" s="6"/>
      <c r="X689" s="6"/>
      <c r="Y689" s="8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</row>
    <row r="690" spans="1:179" s="24" customFormat="1" ht="13.5" hidden="1" x14ac:dyDescent="0.25">
      <c r="A690" s="1"/>
      <c r="B690" s="1"/>
      <c r="C690" s="1" t="s">
        <v>624</v>
      </c>
      <c r="D690" s="1"/>
      <c r="E690" s="420">
        <f>F638+F148+G148</f>
        <v>4712498.2855028594</v>
      </c>
      <c r="F690" s="421">
        <f>H638+H148</f>
        <v>209013.71428571429</v>
      </c>
      <c r="G690" s="421">
        <f>I638+I148</f>
        <v>903766.79448000027</v>
      </c>
      <c r="H690" s="421">
        <f>J638+J148</f>
        <v>215860.02439186291</v>
      </c>
      <c r="I690" s="421">
        <f>K638+K148</f>
        <v>90949.7660379429</v>
      </c>
      <c r="J690" s="421"/>
      <c r="L690" s="1"/>
      <c r="M690" s="5"/>
      <c r="N690" s="5"/>
      <c r="O690" s="6"/>
      <c r="P690" s="6"/>
      <c r="Q690" s="1"/>
      <c r="R690" s="7"/>
      <c r="S690" s="5"/>
      <c r="T690" s="5"/>
      <c r="U690" s="1"/>
      <c r="V690" s="6"/>
      <c r="W690" s="6"/>
      <c r="X690" s="6"/>
      <c r="Y690" s="8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</row>
    <row r="691" spans="1:179" s="24" customFormat="1" ht="13.5" hidden="1" x14ac:dyDescent="0.25">
      <c r="A691" s="1"/>
      <c r="B691" s="1"/>
      <c r="C691" s="1" t="s">
        <v>625</v>
      </c>
      <c r="D691" s="1"/>
      <c r="E691" s="420">
        <f>F606+F561+F186+G186</f>
        <v>10789699.344439624</v>
      </c>
      <c r="F691" s="421">
        <f>H606+H561+H186</f>
        <v>297131.42857142858</v>
      </c>
      <c r="G691" s="421">
        <f>I606+I561+I186</f>
        <v>2069257.4085226671</v>
      </c>
      <c r="H691" s="421">
        <f>J606+J561+J186</f>
        <v>512077.7718922057</v>
      </c>
      <c r="I691" s="421">
        <f>K606+K561+K186</f>
        <v>264050.21508114284</v>
      </c>
      <c r="J691" s="421"/>
      <c r="L691" s="1"/>
      <c r="M691" s="5"/>
      <c r="N691" s="5"/>
      <c r="O691" s="6"/>
      <c r="P691" s="6"/>
      <c r="Q691" s="1"/>
      <c r="R691" s="7"/>
      <c r="S691" s="5"/>
      <c r="T691" s="5"/>
      <c r="U691" s="1"/>
      <c r="V691" s="6"/>
      <c r="W691" s="6"/>
      <c r="X691" s="6"/>
      <c r="Y691" s="8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</row>
    <row r="692" spans="1:179" s="24" customFormat="1" ht="13.5" hidden="1" x14ac:dyDescent="0.25">
      <c r="A692" s="1"/>
      <c r="B692" s="1"/>
      <c r="C692" s="1" t="s">
        <v>626</v>
      </c>
      <c r="D692" s="1"/>
      <c r="E692" s="420">
        <f>F249+G249</f>
        <v>760956.30583200022</v>
      </c>
      <c r="F692" s="421">
        <f>H249</f>
        <v>120000</v>
      </c>
      <c r="G692" s="421">
        <f>I249</f>
        <v>145936.82577600004</v>
      </c>
      <c r="H692" s="421">
        <f>J249</f>
        <v>35013.156456960009</v>
      </c>
      <c r="I692" s="421">
        <f>K249</f>
        <v>15971.546457600001</v>
      </c>
      <c r="J692" s="421"/>
      <c r="L692" s="1"/>
      <c r="M692" s="5"/>
      <c r="N692" s="5"/>
      <c r="O692" s="6"/>
      <c r="P692" s="6"/>
      <c r="Q692" s="1"/>
      <c r="R692" s="7"/>
      <c r="S692" s="5"/>
      <c r="T692" s="5"/>
      <c r="U692" s="1"/>
      <c r="V692" s="6"/>
      <c r="W692" s="6"/>
      <c r="X692" s="6"/>
      <c r="Y692" s="8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</row>
    <row r="693" spans="1:179" s="24" customFormat="1" ht="13.5" hidden="1" x14ac:dyDescent="0.25">
      <c r="A693" s="1"/>
      <c r="B693" s="1"/>
      <c r="C693" s="1" t="s">
        <v>627</v>
      </c>
      <c r="D693" s="1"/>
      <c r="E693" s="420">
        <f>F262+G262</f>
        <v>483995.11759200005</v>
      </c>
      <c r="F693" s="421">
        <f>H262</f>
        <v>0</v>
      </c>
      <c r="G693" s="421">
        <f>I262</f>
        <v>92820.981456000009</v>
      </c>
      <c r="H693" s="421">
        <f>J262</f>
        <v>20507.566037760007</v>
      </c>
      <c r="I693" s="421">
        <f>K262</f>
        <v>4907.1703456000005</v>
      </c>
      <c r="J693" s="421"/>
      <c r="L693" s="1"/>
      <c r="M693" s="5"/>
      <c r="N693" s="5"/>
      <c r="O693" s="6"/>
      <c r="P693" s="6"/>
      <c r="Q693" s="1"/>
      <c r="R693" s="7"/>
      <c r="S693" s="5"/>
      <c r="T693" s="5"/>
      <c r="U693" s="1"/>
      <c r="V693" s="6"/>
      <c r="W693" s="6"/>
      <c r="X693" s="6"/>
      <c r="Y693" s="8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</row>
    <row r="694" spans="1:179" s="24" customFormat="1" ht="13.5" hidden="1" x14ac:dyDescent="0.25">
      <c r="A694" s="1"/>
      <c r="B694" s="1"/>
      <c r="C694" s="1" t="s">
        <v>628</v>
      </c>
      <c r="D694" s="1"/>
      <c r="E694" s="420">
        <f>F296+G296</f>
        <v>4816690.6427999996</v>
      </c>
      <c r="F694" s="421">
        <f>H296</f>
        <v>1355520</v>
      </c>
      <c r="G694" s="421">
        <f>I296</f>
        <v>923748.8903999998</v>
      </c>
      <c r="H694" s="421">
        <f>J296</f>
        <v>7418.0275200000005</v>
      </c>
      <c r="I694" s="421">
        <f>K296</f>
        <v>5306.5871999999999</v>
      </c>
      <c r="J694" s="421"/>
      <c r="L694" s="1"/>
      <c r="M694" s="5"/>
      <c r="N694" s="5"/>
      <c r="O694" s="6"/>
      <c r="P694" s="6"/>
      <c r="Q694" s="1"/>
      <c r="R694" s="7"/>
      <c r="S694" s="5"/>
      <c r="T694" s="5"/>
      <c r="U694" s="1"/>
      <c r="V694" s="6"/>
      <c r="W694" s="6"/>
      <c r="X694" s="6"/>
      <c r="Y694" s="8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</row>
    <row r="695" spans="1:179" s="24" customFormat="1" ht="13.5" hidden="1" x14ac:dyDescent="0.25">
      <c r="A695" s="1"/>
      <c r="B695" s="1"/>
      <c r="C695" s="1" t="s">
        <v>629</v>
      </c>
      <c r="D695" s="1"/>
      <c r="E695" s="420">
        <f>F274+G274</f>
        <v>523811.90880000009</v>
      </c>
      <c r="F695" s="421">
        <f>H274</f>
        <v>96000</v>
      </c>
      <c r="G695" s="421">
        <f>I274</f>
        <v>100457.07840000001</v>
      </c>
      <c r="H695" s="421">
        <f>J274</f>
        <v>24780.501504</v>
      </c>
      <c r="I695" s="421">
        <f>K274</f>
        <v>10957.933440000001</v>
      </c>
      <c r="J695" s="421"/>
      <c r="L695" s="1"/>
      <c r="M695" s="5"/>
      <c r="N695" s="5"/>
      <c r="O695" s="6"/>
      <c r="P695" s="6"/>
      <c r="Q695" s="1"/>
      <c r="R695" s="7"/>
      <c r="S695" s="5"/>
      <c r="T695" s="5"/>
      <c r="U695" s="1"/>
      <c r="V695" s="6"/>
      <c r="W695" s="6"/>
      <c r="X695" s="6"/>
      <c r="Y695" s="8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</row>
    <row r="696" spans="1:179" s="24" customFormat="1" ht="13.5" hidden="1" x14ac:dyDescent="0.25">
      <c r="A696" s="1"/>
      <c r="B696" s="1"/>
      <c r="C696" s="1" t="s">
        <v>630</v>
      </c>
      <c r="D696" s="1"/>
      <c r="E696" s="420">
        <f>F324+G324</f>
        <v>2438857.618164001</v>
      </c>
      <c r="F696" s="421">
        <f>H324</f>
        <v>48000</v>
      </c>
      <c r="G696" s="421">
        <f>I324</f>
        <v>467726.11855200009</v>
      </c>
      <c r="H696" s="421">
        <f>J324</f>
        <v>96548.335050240014</v>
      </c>
      <c r="I696" s="421">
        <f>K324</f>
        <v>1496.2966560000004</v>
      </c>
      <c r="J696" s="421"/>
      <c r="L696" s="1"/>
      <c r="M696" s="5"/>
      <c r="N696" s="5"/>
      <c r="O696" s="6"/>
      <c r="P696" s="6"/>
      <c r="Q696" s="1"/>
      <c r="R696" s="7"/>
      <c r="S696" s="5"/>
      <c r="T696" s="5"/>
      <c r="U696" s="1"/>
      <c r="V696" s="6"/>
      <c r="W696" s="6"/>
      <c r="X696" s="6"/>
      <c r="Y696" s="8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</row>
    <row r="697" spans="1:179" s="24" customFormat="1" ht="13.5" hidden="1" x14ac:dyDescent="0.25">
      <c r="A697" s="1"/>
      <c r="B697" s="1"/>
      <c r="C697" s="1"/>
      <c r="D697" s="1"/>
      <c r="E697" s="420">
        <f>SUM(E684:E696)</f>
        <v>38298368.371605508</v>
      </c>
      <c r="F697" s="421">
        <f>SUM(F684:F696)</f>
        <v>3587097.1428571427</v>
      </c>
      <c r="G697" s="421">
        <f>SUM(G684:G696)</f>
        <v>7338975.5884399097</v>
      </c>
      <c r="H697" s="421">
        <f>SUM(H684:H696)</f>
        <v>1517531.6084674709</v>
      </c>
      <c r="I697" s="421">
        <f>SUM(I684:I696)</f>
        <v>579783.25685002969</v>
      </c>
      <c r="J697" s="421">
        <f>SUM(E697:I697)</f>
        <v>51321755.968220063</v>
      </c>
      <c r="L697" s="1"/>
      <c r="M697" s="5"/>
      <c r="N697" s="5"/>
      <c r="O697" s="6"/>
      <c r="P697" s="6"/>
      <c r="Q697" s="1"/>
      <c r="R697" s="7"/>
      <c r="S697" s="5"/>
      <c r="T697" s="5"/>
      <c r="U697" s="1"/>
      <c r="V697" s="6"/>
      <c r="W697" s="6"/>
      <c r="X697" s="6"/>
      <c r="Y697" s="8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</row>
    <row r="698" spans="1:179" s="24" customFormat="1" hidden="1" x14ac:dyDescent="0.2">
      <c r="A698" s="1"/>
      <c r="B698" s="1"/>
      <c r="C698" s="1"/>
      <c r="D698" s="1"/>
      <c r="E698" s="1"/>
      <c r="F698" s="6"/>
      <c r="G698" s="6"/>
      <c r="H698" s="6"/>
      <c r="I698" s="6"/>
      <c r="J698" s="6"/>
      <c r="L698" s="1"/>
      <c r="M698" s="5"/>
      <c r="N698" s="5"/>
      <c r="O698" s="6"/>
      <c r="P698" s="6"/>
      <c r="Q698" s="1"/>
      <c r="R698" s="7"/>
      <c r="S698" s="5"/>
      <c r="T698" s="5"/>
      <c r="U698" s="1"/>
      <c r="V698" s="6"/>
      <c r="W698" s="6"/>
      <c r="X698" s="6"/>
      <c r="Y698" s="8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</row>
    <row r="699" spans="1:179" s="24" customFormat="1" ht="13.5" hidden="1" x14ac:dyDescent="0.25">
      <c r="A699" s="1"/>
      <c r="B699" s="1"/>
      <c r="C699" s="1" t="s">
        <v>631</v>
      </c>
      <c r="D699" s="1"/>
      <c r="E699" s="420">
        <f>F521+F495+F479+F234+G234</f>
        <v>16036036.683157146</v>
      </c>
      <c r="F699" s="421">
        <f>H521+H495+H479+H234</f>
        <v>579524.57142857148</v>
      </c>
      <c r="G699" s="421">
        <f>I521+I495+I479+I234</f>
        <v>2893569.6157108573</v>
      </c>
      <c r="H699" s="421">
        <f>J521+J495+J479+J234</f>
        <v>681916.55405485723</v>
      </c>
      <c r="I699" s="421">
        <f>K521+K495+K479+K234</f>
        <v>108321.33918171428</v>
      </c>
      <c r="J699" s="421">
        <f>SUM(E699:I699)</f>
        <v>20299368.763533145</v>
      </c>
      <c r="L699" s="1"/>
      <c r="M699" s="5"/>
      <c r="N699" s="5"/>
      <c r="O699" s="6"/>
      <c r="P699" s="6"/>
      <c r="Q699" s="1"/>
      <c r="R699" s="7"/>
      <c r="S699" s="5"/>
      <c r="T699" s="5"/>
      <c r="U699" s="1"/>
      <c r="V699" s="6"/>
      <c r="W699" s="6"/>
      <c r="X699" s="6"/>
      <c r="Y699" s="8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</row>
    <row r="700" spans="1:179" s="24" customFormat="1" ht="13.5" hidden="1" x14ac:dyDescent="0.25">
      <c r="A700" s="1"/>
      <c r="B700" s="1"/>
      <c r="C700" s="1"/>
      <c r="D700" s="1"/>
      <c r="E700" s="422"/>
      <c r="F700" s="423"/>
      <c r="G700" s="423"/>
      <c r="H700" s="423"/>
      <c r="I700" s="423"/>
      <c r="J700" s="423"/>
      <c r="L700" s="1"/>
      <c r="M700" s="5"/>
      <c r="N700" s="5"/>
      <c r="O700" s="6"/>
      <c r="P700" s="6"/>
      <c r="Q700" s="1"/>
      <c r="R700" s="7"/>
      <c r="S700" s="5"/>
      <c r="T700" s="5"/>
      <c r="U700" s="1"/>
      <c r="V700" s="6"/>
      <c r="W700" s="6"/>
      <c r="X700" s="6"/>
      <c r="Y700" s="8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</row>
    <row r="701" spans="1:179" s="24" customFormat="1" ht="13.5" hidden="1" x14ac:dyDescent="0.25">
      <c r="A701" s="1"/>
      <c r="B701" s="1"/>
      <c r="C701" s="1"/>
      <c r="D701" s="1"/>
      <c r="E701" s="422"/>
      <c r="F701" s="423"/>
      <c r="G701" s="423"/>
      <c r="H701" s="423"/>
      <c r="I701" s="423"/>
      <c r="J701" s="423"/>
      <c r="L701" s="1"/>
      <c r="M701" s="5"/>
      <c r="N701" s="5"/>
      <c r="O701" s="6"/>
      <c r="P701" s="6"/>
      <c r="Q701" s="1"/>
      <c r="R701" s="7"/>
      <c r="S701" s="5"/>
      <c r="T701" s="5"/>
      <c r="U701" s="1"/>
      <c r="V701" s="6"/>
      <c r="W701" s="6"/>
      <c r="X701" s="6"/>
      <c r="Y701" s="8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</row>
    <row r="702" spans="1:179" hidden="1" x14ac:dyDescent="0.2">
      <c r="M702" s="5" t="s">
        <v>632</v>
      </c>
      <c r="N702" s="515"/>
      <c r="O702" s="515"/>
      <c r="P702" s="515"/>
      <c r="Q702" s="515"/>
    </row>
    <row r="703" spans="1:179" hidden="1" x14ac:dyDescent="0.2">
      <c r="E703" s="424" t="s">
        <v>633</v>
      </c>
      <c r="F703" s="425">
        <f t="shared" ref="F703:K703" si="256">F19+F35+F49+F88+F112+F129+F148+F186+F249+F262+F274+F296+F324+F561+F606+F638+F658</f>
        <v>37920637.723101407</v>
      </c>
      <c r="G703" s="425">
        <f t="shared" si="256"/>
        <v>377730.64850410668</v>
      </c>
      <c r="H703" s="425">
        <f t="shared" si="256"/>
        <v>3587097.1428571427</v>
      </c>
      <c r="I703" s="425">
        <f t="shared" si="256"/>
        <v>7338975.5884399088</v>
      </c>
      <c r="J703" s="425">
        <f t="shared" si="256"/>
        <v>1517531.6084674711</v>
      </c>
      <c r="K703" s="425">
        <f t="shared" si="256"/>
        <v>579783.25685002981</v>
      </c>
      <c r="L703" s="424"/>
      <c r="M703" s="449">
        <f>SUM(F703:L703)</f>
        <v>51321755.96822007</v>
      </c>
      <c r="N703" s="451"/>
      <c r="O703" s="451"/>
      <c r="P703" s="451"/>
      <c r="Q703" s="451"/>
    </row>
    <row r="704" spans="1:179" hidden="1" x14ac:dyDescent="0.2">
      <c r="E704" s="426" t="s">
        <v>634</v>
      </c>
      <c r="F704" s="427">
        <f t="shared" ref="F704:K704" si="257">F234+F360+F426+F479+F495+F521</f>
        <v>30070167.739848576</v>
      </c>
      <c r="G704" s="427">
        <f t="shared" si="257"/>
        <v>68488.386660000004</v>
      </c>
      <c r="H704" s="427">
        <f t="shared" si="257"/>
        <v>1446884.5714285714</v>
      </c>
      <c r="I704" s="427">
        <f t="shared" si="257"/>
        <v>5553836.3111794293</v>
      </c>
      <c r="J704" s="427">
        <f t="shared" si="257"/>
        <v>1257517.9213988574</v>
      </c>
      <c r="K704" s="427">
        <f t="shared" si="257"/>
        <v>149715.296928</v>
      </c>
      <c r="L704" s="426"/>
      <c r="M704" s="450">
        <f>SUM(F704:L704)</f>
        <v>38546610.227443434</v>
      </c>
      <c r="N704" s="451"/>
      <c r="O704" s="452"/>
      <c r="P704" s="452"/>
      <c r="Q704" s="451"/>
    </row>
    <row r="705" spans="5:17" hidden="1" x14ac:dyDescent="0.2">
      <c r="E705" s="1" t="s">
        <v>635</v>
      </c>
      <c r="M705" s="5">
        <v>13638358.800000001</v>
      </c>
      <c r="P705" s="428"/>
      <c r="Q705" s="172"/>
    </row>
    <row r="706" spans="5:17" hidden="1" x14ac:dyDescent="0.2">
      <c r="E706" s="1" t="s">
        <v>636</v>
      </c>
      <c r="M706" s="5">
        <f t="shared" ref="M706" si="258">M703+M705</f>
        <v>64960114.768220067</v>
      </c>
      <c r="O706" s="429"/>
      <c r="P706" s="428"/>
      <c r="Q706" s="172"/>
    </row>
    <row r="707" spans="5:17" hidden="1" x14ac:dyDescent="0.2">
      <c r="E707" s="1" t="s">
        <v>637</v>
      </c>
      <c r="M707" s="5">
        <v>105041868</v>
      </c>
      <c r="P707" s="428"/>
      <c r="Q707" s="172"/>
    </row>
    <row r="708" spans="5:17" hidden="1" x14ac:dyDescent="0.2">
      <c r="E708" s="291" t="s">
        <v>638</v>
      </c>
      <c r="M708" s="172">
        <f t="shared" ref="M708" si="259">M707-M706</f>
        <v>40081753.231779933</v>
      </c>
      <c r="N708" s="172"/>
      <c r="O708" s="428"/>
      <c r="P708" s="428"/>
      <c r="Q708" s="172"/>
    </row>
    <row r="709" spans="5:17" hidden="1" x14ac:dyDescent="0.2"/>
  </sheetData>
  <mergeCells count="563">
    <mergeCell ref="N702:Q702"/>
    <mergeCell ref="O643:O644"/>
    <mergeCell ref="P643:P644"/>
    <mergeCell ref="Q643:Q644"/>
    <mergeCell ref="R643:R644"/>
    <mergeCell ref="S643:S644"/>
    <mergeCell ref="T643:T644"/>
    <mergeCell ref="W611:W612"/>
    <mergeCell ref="X611:X612"/>
    <mergeCell ref="Y611:Y612"/>
    <mergeCell ref="H641:I641"/>
    <mergeCell ref="T611:T612"/>
    <mergeCell ref="U611:U612"/>
    <mergeCell ref="V611:V612"/>
    <mergeCell ref="U643:U644"/>
    <mergeCell ref="V643:V644"/>
    <mergeCell ref="W643:W644"/>
    <mergeCell ref="X643:X644"/>
    <mergeCell ref="Y643:Y644"/>
    <mergeCell ref="B643:B644"/>
    <mergeCell ref="C643:C644"/>
    <mergeCell ref="D643:D644"/>
    <mergeCell ref="E643:E644"/>
    <mergeCell ref="F643:F644"/>
    <mergeCell ref="G643:G644"/>
    <mergeCell ref="Q611:Q612"/>
    <mergeCell ref="R611:R612"/>
    <mergeCell ref="S611:S612"/>
    <mergeCell ref="J611:J612"/>
    <mergeCell ref="K611:K612"/>
    <mergeCell ref="M611:M612"/>
    <mergeCell ref="N611:N612"/>
    <mergeCell ref="O611:O612"/>
    <mergeCell ref="P611:P612"/>
    <mergeCell ref="H643:H644"/>
    <mergeCell ref="I643:I644"/>
    <mergeCell ref="J643:J644"/>
    <mergeCell ref="K643:K644"/>
    <mergeCell ref="M643:M644"/>
    <mergeCell ref="N643:N644"/>
    <mergeCell ref="H609:I609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B608:C608"/>
    <mergeCell ref="J608:K608"/>
    <mergeCell ref="O566:O567"/>
    <mergeCell ref="P566:P567"/>
    <mergeCell ref="Q566:Q567"/>
    <mergeCell ref="R566:R567"/>
    <mergeCell ref="S566:S567"/>
    <mergeCell ref="T566:T567"/>
    <mergeCell ref="H566:H567"/>
    <mergeCell ref="I566:I567"/>
    <mergeCell ref="J566:J567"/>
    <mergeCell ref="K566:K567"/>
    <mergeCell ref="M566:M567"/>
    <mergeCell ref="N566:N567"/>
    <mergeCell ref="B566:B567"/>
    <mergeCell ref="C566:C567"/>
    <mergeCell ref="D566:D567"/>
    <mergeCell ref="E566:E567"/>
    <mergeCell ref="F566:F567"/>
    <mergeCell ref="G566:G567"/>
    <mergeCell ref="X566:X567"/>
    <mergeCell ref="Y566:Y567"/>
    <mergeCell ref="B526:B527"/>
    <mergeCell ref="C526:C527"/>
    <mergeCell ref="D526:D527"/>
    <mergeCell ref="E526:E527"/>
    <mergeCell ref="F526:F527"/>
    <mergeCell ref="G526:G527"/>
    <mergeCell ref="U526:U527"/>
    <mergeCell ref="V526:V527"/>
    <mergeCell ref="W526:W527"/>
    <mergeCell ref="X526:X527"/>
    <mergeCell ref="Y526:Y527"/>
    <mergeCell ref="H564:I564"/>
    <mergeCell ref="O526:O527"/>
    <mergeCell ref="P526:P527"/>
    <mergeCell ref="Q526:Q527"/>
    <mergeCell ref="R526:R527"/>
    <mergeCell ref="S526:S527"/>
    <mergeCell ref="T526:T527"/>
    <mergeCell ref="H526:H527"/>
    <mergeCell ref="I526:I527"/>
    <mergeCell ref="J526:J527"/>
    <mergeCell ref="K526:K527"/>
    <mergeCell ref="B500:B501"/>
    <mergeCell ref="C500:C501"/>
    <mergeCell ref="D500:D501"/>
    <mergeCell ref="E500:E501"/>
    <mergeCell ref="F500:F501"/>
    <mergeCell ref="G500:G501"/>
    <mergeCell ref="U566:U567"/>
    <mergeCell ref="V566:V567"/>
    <mergeCell ref="W566:W567"/>
    <mergeCell ref="M526:M527"/>
    <mergeCell ref="N526:N527"/>
    <mergeCell ref="X500:X501"/>
    <mergeCell ref="Y500:Y501"/>
    <mergeCell ref="H524:I524"/>
    <mergeCell ref="O500:O501"/>
    <mergeCell ref="P500:P501"/>
    <mergeCell ref="Q500:Q501"/>
    <mergeCell ref="R500:R501"/>
    <mergeCell ref="S500:S501"/>
    <mergeCell ref="T500:T501"/>
    <mergeCell ref="H500:H501"/>
    <mergeCell ref="I500:I501"/>
    <mergeCell ref="J500:J501"/>
    <mergeCell ref="K500:K501"/>
    <mergeCell ref="M500:M501"/>
    <mergeCell ref="N500:N501"/>
    <mergeCell ref="U500:U501"/>
    <mergeCell ref="V500:V501"/>
    <mergeCell ref="W500:W501"/>
    <mergeCell ref="X484:X485"/>
    <mergeCell ref="Y484:Y485"/>
    <mergeCell ref="H498:I498"/>
    <mergeCell ref="O484:O485"/>
    <mergeCell ref="P484:P485"/>
    <mergeCell ref="Q484:Q485"/>
    <mergeCell ref="R484:R485"/>
    <mergeCell ref="S484:S485"/>
    <mergeCell ref="T484:T485"/>
    <mergeCell ref="H484:H485"/>
    <mergeCell ref="I484:I485"/>
    <mergeCell ref="J484:J485"/>
    <mergeCell ref="K484:K485"/>
    <mergeCell ref="M484:M485"/>
    <mergeCell ref="N484:N485"/>
    <mergeCell ref="B484:B485"/>
    <mergeCell ref="C484:C485"/>
    <mergeCell ref="D484:D485"/>
    <mergeCell ref="E484:E485"/>
    <mergeCell ref="F484:F485"/>
    <mergeCell ref="G484:G485"/>
    <mergeCell ref="U431:U432"/>
    <mergeCell ref="V431:V432"/>
    <mergeCell ref="W431:W432"/>
    <mergeCell ref="B431:B432"/>
    <mergeCell ref="C431:C432"/>
    <mergeCell ref="D431:D432"/>
    <mergeCell ref="E431:E432"/>
    <mergeCell ref="F431:F432"/>
    <mergeCell ref="G431:G432"/>
    <mergeCell ref="U484:U485"/>
    <mergeCell ref="V484:V485"/>
    <mergeCell ref="W484:W485"/>
    <mergeCell ref="X431:X432"/>
    <mergeCell ref="Y431:Y432"/>
    <mergeCell ref="H482:I482"/>
    <mergeCell ref="O431:O432"/>
    <mergeCell ref="P431:P432"/>
    <mergeCell ref="Q431:Q432"/>
    <mergeCell ref="R431:R432"/>
    <mergeCell ref="S431:S432"/>
    <mergeCell ref="T431:T432"/>
    <mergeCell ref="H431:H432"/>
    <mergeCell ref="I431:I432"/>
    <mergeCell ref="J431:J432"/>
    <mergeCell ref="K431:K432"/>
    <mergeCell ref="M431:M432"/>
    <mergeCell ref="N431:N432"/>
    <mergeCell ref="X365:X366"/>
    <mergeCell ref="Y365:Y366"/>
    <mergeCell ref="H429:I429"/>
    <mergeCell ref="O365:O366"/>
    <mergeCell ref="P365:P366"/>
    <mergeCell ref="Q365:Q366"/>
    <mergeCell ref="R365:R366"/>
    <mergeCell ref="S365:S366"/>
    <mergeCell ref="T365:T366"/>
    <mergeCell ref="H365:H366"/>
    <mergeCell ref="I365:I366"/>
    <mergeCell ref="J365:J366"/>
    <mergeCell ref="K365:K366"/>
    <mergeCell ref="M365:M366"/>
    <mergeCell ref="N365:N366"/>
    <mergeCell ref="B365:B366"/>
    <mergeCell ref="C365:C366"/>
    <mergeCell ref="D365:D366"/>
    <mergeCell ref="E365:E366"/>
    <mergeCell ref="F365:F366"/>
    <mergeCell ref="G365:G366"/>
    <mergeCell ref="U330:U331"/>
    <mergeCell ref="V330:V331"/>
    <mergeCell ref="W330:W331"/>
    <mergeCell ref="B330:B331"/>
    <mergeCell ref="C330:C331"/>
    <mergeCell ref="D330:D331"/>
    <mergeCell ref="E330:E331"/>
    <mergeCell ref="F330:F331"/>
    <mergeCell ref="G330:G331"/>
    <mergeCell ref="U365:U366"/>
    <mergeCell ref="V365:V366"/>
    <mergeCell ref="W365:W366"/>
    <mergeCell ref="X330:X331"/>
    <mergeCell ref="Y330:Y331"/>
    <mergeCell ref="H363:I363"/>
    <mergeCell ref="O330:O331"/>
    <mergeCell ref="P330:P331"/>
    <mergeCell ref="Q330:Q331"/>
    <mergeCell ref="R330:R331"/>
    <mergeCell ref="S330:S331"/>
    <mergeCell ref="T330:T331"/>
    <mergeCell ref="H330:H331"/>
    <mergeCell ref="I330:I331"/>
    <mergeCell ref="J330:J331"/>
    <mergeCell ref="K330:K331"/>
    <mergeCell ref="M330:M331"/>
    <mergeCell ref="N330:N331"/>
    <mergeCell ref="X301:X302"/>
    <mergeCell ref="Y301:Y302"/>
    <mergeCell ref="H328:I328"/>
    <mergeCell ref="O301:O302"/>
    <mergeCell ref="P301:P302"/>
    <mergeCell ref="Q301:Q302"/>
    <mergeCell ref="R301:R302"/>
    <mergeCell ref="S301:S302"/>
    <mergeCell ref="T301:T302"/>
    <mergeCell ref="H301:H302"/>
    <mergeCell ref="I301:I302"/>
    <mergeCell ref="J301:J302"/>
    <mergeCell ref="K301:K302"/>
    <mergeCell ref="M301:M302"/>
    <mergeCell ref="N301:N302"/>
    <mergeCell ref="B301:B302"/>
    <mergeCell ref="C301:C302"/>
    <mergeCell ref="D301:D302"/>
    <mergeCell ref="E301:E302"/>
    <mergeCell ref="F301:F302"/>
    <mergeCell ref="G301:G302"/>
    <mergeCell ref="U280:U281"/>
    <mergeCell ref="V280:V281"/>
    <mergeCell ref="W280:W281"/>
    <mergeCell ref="B280:B281"/>
    <mergeCell ref="C280:C281"/>
    <mergeCell ref="D280:D281"/>
    <mergeCell ref="E280:E281"/>
    <mergeCell ref="F280:F281"/>
    <mergeCell ref="G280:G281"/>
    <mergeCell ref="U301:U302"/>
    <mergeCell ref="V301:V302"/>
    <mergeCell ref="W301:W302"/>
    <mergeCell ref="X280:X281"/>
    <mergeCell ref="Y280:Y281"/>
    <mergeCell ref="H299:I299"/>
    <mergeCell ref="O280:O281"/>
    <mergeCell ref="P280:P281"/>
    <mergeCell ref="Q280:Q281"/>
    <mergeCell ref="R280:R281"/>
    <mergeCell ref="S280:S281"/>
    <mergeCell ref="T280:T281"/>
    <mergeCell ref="H280:H281"/>
    <mergeCell ref="I280:I281"/>
    <mergeCell ref="J280:J281"/>
    <mergeCell ref="K280:K281"/>
    <mergeCell ref="M280:M281"/>
    <mergeCell ref="N280:N281"/>
    <mergeCell ref="X267:X268"/>
    <mergeCell ref="Y267:Y268"/>
    <mergeCell ref="H278:I278"/>
    <mergeCell ref="O267:O268"/>
    <mergeCell ref="P267:P268"/>
    <mergeCell ref="Q267:Q268"/>
    <mergeCell ref="R267:R268"/>
    <mergeCell ref="S267:S268"/>
    <mergeCell ref="T267:T268"/>
    <mergeCell ref="H267:H268"/>
    <mergeCell ref="I267:I268"/>
    <mergeCell ref="J267:J268"/>
    <mergeCell ref="K267:K268"/>
    <mergeCell ref="M267:M268"/>
    <mergeCell ref="N267:N268"/>
    <mergeCell ref="B267:B268"/>
    <mergeCell ref="C267:C268"/>
    <mergeCell ref="D267:D268"/>
    <mergeCell ref="E267:E268"/>
    <mergeCell ref="F267:F268"/>
    <mergeCell ref="G267:G268"/>
    <mergeCell ref="U254:U255"/>
    <mergeCell ref="V254:V255"/>
    <mergeCell ref="W254:W255"/>
    <mergeCell ref="B254:B255"/>
    <mergeCell ref="C254:C255"/>
    <mergeCell ref="D254:D255"/>
    <mergeCell ref="E254:E255"/>
    <mergeCell ref="F254:F255"/>
    <mergeCell ref="G254:G255"/>
    <mergeCell ref="U267:U268"/>
    <mergeCell ref="V267:V268"/>
    <mergeCell ref="W267:W268"/>
    <mergeCell ref="X254:X255"/>
    <mergeCell ref="Y254:Y255"/>
    <mergeCell ref="H265:I265"/>
    <mergeCell ref="O254:O255"/>
    <mergeCell ref="P254:P255"/>
    <mergeCell ref="Q254:Q255"/>
    <mergeCell ref="R254:R255"/>
    <mergeCell ref="S254:S255"/>
    <mergeCell ref="T254:T255"/>
    <mergeCell ref="H254:H255"/>
    <mergeCell ref="I254:I255"/>
    <mergeCell ref="J254:J255"/>
    <mergeCell ref="K254:K255"/>
    <mergeCell ref="M254:M255"/>
    <mergeCell ref="N254:N255"/>
    <mergeCell ref="X239:X240"/>
    <mergeCell ref="Y239:Y240"/>
    <mergeCell ref="H252:I252"/>
    <mergeCell ref="O239:O240"/>
    <mergeCell ref="P239:P240"/>
    <mergeCell ref="Q239:Q240"/>
    <mergeCell ref="R239:R240"/>
    <mergeCell ref="S239:S240"/>
    <mergeCell ref="T239:T240"/>
    <mergeCell ref="H239:H240"/>
    <mergeCell ref="I239:I240"/>
    <mergeCell ref="J239:J240"/>
    <mergeCell ref="K239:K240"/>
    <mergeCell ref="M239:M240"/>
    <mergeCell ref="N239:N240"/>
    <mergeCell ref="B239:B240"/>
    <mergeCell ref="C239:C240"/>
    <mergeCell ref="D239:D240"/>
    <mergeCell ref="E239:E240"/>
    <mergeCell ref="F239:F240"/>
    <mergeCell ref="G239:G240"/>
    <mergeCell ref="U191:U192"/>
    <mergeCell ref="V191:V192"/>
    <mergeCell ref="W191:W192"/>
    <mergeCell ref="B191:B192"/>
    <mergeCell ref="C191:C192"/>
    <mergeCell ref="D191:D192"/>
    <mergeCell ref="E191:E192"/>
    <mergeCell ref="F191:F192"/>
    <mergeCell ref="G191:G192"/>
    <mergeCell ref="U239:U240"/>
    <mergeCell ref="V239:V240"/>
    <mergeCell ref="W239:W240"/>
    <mergeCell ref="X191:X192"/>
    <mergeCell ref="Y191:Y192"/>
    <mergeCell ref="H237:I237"/>
    <mergeCell ref="O191:O192"/>
    <mergeCell ref="P191:P192"/>
    <mergeCell ref="Q191:Q192"/>
    <mergeCell ref="R191:R192"/>
    <mergeCell ref="S191:S192"/>
    <mergeCell ref="T191:T192"/>
    <mergeCell ref="H191:H192"/>
    <mergeCell ref="I191:I192"/>
    <mergeCell ref="J191:J192"/>
    <mergeCell ref="K191:K192"/>
    <mergeCell ref="M191:M192"/>
    <mergeCell ref="N191:N192"/>
    <mergeCell ref="X153:X154"/>
    <mergeCell ref="Y153:Y154"/>
    <mergeCell ref="H189:I189"/>
    <mergeCell ref="O153:O154"/>
    <mergeCell ref="P153:P154"/>
    <mergeCell ref="Q153:Q154"/>
    <mergeCell ref="R153:R154"/>
    <mergeCell ref="S153:S154"/>
    <mergeCell ref="T153:T154"/>
    <mergeCell ref="H153:H154"/>
    <mergeCell ref="I153:I154"/>
    <mergeCell ref="J153:J154"/>
    <mergeCell ref="K153:K154"/>
    <mergeCell ref="M153:M154"/>
    <mergeCell ref="N153:N154"/>
    <mergeCell ref="B153:B154"/>
    <mergeCell ref="C153:C154"/>
    <mergeCell ref="D153:D154"/>
    <mergeCell ref="E153:E154"/>
    <mergeCell ref="F153:F154"/>
    <mergeCell ref="G153:G154"/>
    <mergeCell ref="U134:U135"/>
    <mergeCell ref="V134:V135"/>
    <mergeCell ref="W134:W135"/>
    <mergeCell ref="B134:B135"/>
    <mergeCell ref="C134:C135"/>
    <mergeCell ref="D134:D135"/>
    <mergeCell ref="E134:E135"/>
    <mergeCell ref="F134:F135"/>
    <mergeCell ref="G134:G135"/>
    <mergeCell ref="U153:U154"/>
    <mergeCell ref="V153:V154"/>
    <mergeCell ref="W153:W154"/>
    <mergeCell ref="X134:X135"/>
    <mergeCell ref="Y134:Y135"/>
    <mergeCell ref="H151:I151"/>
    <mergeCell ref="O134:O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5"/>
    <mergeCell ref="M134:M135"/>
    <mergeCell ref="N134:N135"/>
    <mergeCell ref="X117:X118"/>
    <mergeCell ref="Y117:Y118"/>
    <mergeCell ref="D132:E132"/>
    <mergeCell ref="H132:I132"/>
    <mergeCell ref="O117:O118"/>
    <mergeCell ref="P117:P118"/>
    <mergeCell ref="Q117:Q118"/>
    <mergeCell ref="R117:R118"/>
    <mergeCell ref="S117:S118"/>
    <mergeCell ref="T117:T118"/>
    <mergeCell ref="H117:H118"/>
    <mergeCell ref="I117:I118"/>
    <mergeCell ref="J117:J118"/>
    <mergeCell ref="K117:K118"/>
    <mergeCell ref="M117:M118"/>
    <mergeCell ref="N117:N118"/>
    <mergeCell ref="B117:B118"/>
    <mergeCell ref="C117:C118"/>
    <mergeCell ref="D117:D118"/>
    <mergeCell ref="E117:E118"/>
    <mergeCell ref="F117:F118"/>
    <mergeCell ref="G117:G118"/>
    <mergeCell ref="U93:U94"/>
    <mergeCell ref="V93:V94"/>
    <mergeCell ref="W93:W94"/>
    <mergeCell ref="B93:B94"/>
    <mergeCell ref="C93:C94"/>
    <mergeCell ref="U117:U118"/>
    <mergeCell ref="V117:V118"/>
    <mergeCell ref="W117:W118"/>
    <mergeCell ref="X93:X94"/>
    <mergeCell ref="Y93:Y94"/>
    <mergeCell ref="D115:E115"/>
    <mergeCell ref="H115:I115"/>
    <mergeCell ref="O93:O94"/>
    <mergeCell ref="P93:P94"/>
    <mergeCell ref="Q93:Q94"/>
    <mergeCell ref="R93:R94"/>
    <mergeCell ref="S93:S94"/>
    <mergeCell ref="T93:T94"/>
    <mergeCell ref="H93:H94"/>
    <mergeCell ref="I93:I94"/>
    <mergeCell ref="J93:J94"/>
    <mergeCell ref="K93:K94"/>
    <mergeCell ref="M93:M94"/>
    <mergeCell ref="N93:N94"/>
    <mergeCell ref="D93:D94"/>
    <mergeCell ref="E93:E94"/>
    <mergeCell ref="F93:F94"/>
    <mergeCell ref="G93:G94"/>
    <mergeCell ref="U54:U55"/>
    <mergeCell ref="V54:V55"/>
    <mergeCell ref="W54:W55"/>
    <mergeCell ref="X54:X55"/>
    <mergeCell ref="Y54:Y55"/>
    <mergeCell ref="D91:E91"/>
    <mergeCell ref="H91:I91"/>
    <mergeCell ref="O54:O55"/>
    <mergeCell ref="P54:P55"/>
    <mergeCell ref="Q54:Q55"/>
    <mergeCell ref="R54:R55"/>
    <mergeCell ref="S54:S55"/>
    <mergeCell ref="T54:T55"/>
    <mergeCell ref="H54:H55"/>
    <mergeCell ref="I54:I55"/>
    <mergeCell ref="J54:J55"/>
    <mergeCell ref="K54:K55"/>
    <mergeCell ref="M54:M55"/>
    <mergeCell ref="N54:N55"/>
    <mergeCell ref="B54:B55"/>
    <mergeCell ref="C54:C55"/>
    <mergeCell ref="D54:D55"/>
    <mergeCell ref="E54:E55"/>
    <mergeCell ref="F54:F55"/>
    <mergeCell ref="G54:G55"/>
    <mergeCell ref="W40:W41"/>
    <mergeCell ref="X40:X41"/>
    <mergeCell ref="Y40:Y41"/>
    <mergeCell ref="B52:C52"/>
    <mergeCell ref="D52:H52"/>
    <mergeCell ref="J52:K52"/>
    <mergeCell ref="Q40:Q41"/>
    <mergeCell ref="R40:R41"/>
    <mergeCell ref="S40:S41"/>
    <mergeCell ref="T40:T41"/>
    <mergeCell ref="U40:U41"/>
    <mergeCell ref="V40:V41"/>
    <mergeCell ref="J40:J41"/>
    <mergeCell ref="K40:K41"/>
    <mergeCell ref="M40:M41"/>
    <mergeCell ref="N40:N41"/>
    <mergeCell ref="O40:O41"/>
    <mergeCell ref="P40:P41"/>
    <mergeCell ref="Q24:Q25"/>
    <mergeCell ref="R24:R25"/>
    <mergeCell ref="S24:S25"/>
    <mergeCell ref="D38:E38"/>
    <mergeCell ref="H38:I38"/>
    <mergeCell ref="B40:B41"/>
    <mergeCell ref="C40:C41"/>
    <mergeCell ref="D40:D41"/>
    <mergeCell ref="E40:E41"/>
    <mergeCell ref="F40:F41"/>
    <mergeCell ref="G40:G41"/>
    <mergeCell ref="H40:H41"/>
    <mergeCell ref="I40:I41"/>
    <mergeCell ref="W10:W11"/>
    <mergeCell ref="X10:X11"/>
    <mergeCell ref="Y10:Y11"/>
    <mergeCell ref="S10:S11"/>
    <mergeCell ref="T10:T11"/>
    <mergeCell ref="U10:U11"/>
    <mergeCell ref="V10:V11"/>
    <mergeCell ref="T24:T25"/>
    <mergeCell ref="U24:U25"/>
    <mergeCell ref="V24:V25"/>
    <mergeCell ref="W24:W25"/>
    <mergeCell ref="X24:X25"/>
    <mergeCell ref="Y24:Y25"/>
    <mergeCell ref="D22:E22"/>
    <mergeCell ref="H22:I22"/>
    <mergeCell ref="B24:B25"/>
    <mergeCell ref="C24:C25"/>
    <mergeCell ref="D24:D25"/>
    <mergeCell ref="E24:E25"/>
    <mergeCell ref="F24:F25"/>
    <mergeCell ref="Q10:Q11"/>
    <mergeCell ref="R10:R11"/>
    <mergeCell ref="J10:J11"/>
    <mergeCell ref="K10:K11"/>
    <mergeCell ref="M10:M11"/>
    <mergeCell ref="N10:N11"/>
    <mergeCell ref="O10:O11"/>
    <mergeCell ref="P10:P11"/>
    <mergeCell ref="G24:G25"/>
    <mergeCell ref="H24:H25"/>
    <mergeCell ref="I24:I25"/>
    <mergeCell ref="J24:J25"/>
    <mergeCell ref="K24:K25"/>
    <mergeCell ref="M24:M25"/>
    <mergeCell ref="N24:N25"/>
    <mergeCell ref="O24:O25"/>
    <mergeCell ref="P24:P25"/>
    <mergeCell ref="D8:E8"/>
    <mergeCell ref="H8:I8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1.8503937007874016" right="0.39370078740157483" top="0.15748031496062992" bottom="0.15748031496062992" header="0.15748031496062992" footer="0.15748031496062992"/>
  <pageSetup paperSize="9" scale="10" fitToHeight="17" orientation="portrait" r:id="rId1"/>
  <headerFooter alignWithMargins="0"/>
  <ignoredErrors>
    <ignoredError sqref="G129 G1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personal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Mendoza</dc:creator>
  <cp:lastModifiedBy>CONTRALORIA</cp:lastModifiedBy>
  <cp:lastPrinted>2020-12-16T19:59:18Z</cp:lastPrinted>
  <dcterms:created xsi:type="dcterms:W3CDTF">2020-12-03T18:24:40Z</dcterms:created>
  <dcterms:modified xsi:type="dcterms:W3CDTF">2021-02-04T18:40:26Z</dcterms:modified>
</cp:coreProperties>
</file>